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76" windowWidth="15480" windowHeight="115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<sst xmlns="http://schemas.openxmlformats.org/spreadsheetml/2006/main" count="415" uniqueCount="229">
  <si>
    <t>B06359</t>
  </si>
  <si>
    <t>Sander Sebastian Agur</t>
  </si>
  <si>
    <t>B06360</t>
  </si>
  <si>
    <t>Anna-Liisa Anni</t>
  </si>
  <si>
    <t>A96149</t>
  </si>
  <si>
    <t>Sten Aru</t>
  </si>
  <si>
    <t>B06361</t>
  </si>
  <si>
    <t>Matiss Briedis</t>
  </si>
  <si>
    <t>A93957</t>
  </si>
  <si>
    <t>Jelizaveta Bõkova</t>
  </si>
  <si>
    <t>B06373</t>
  </si>
  <si>
    <t>Mihkel Eimla</t>
  </si>
  <si>
    <t>A96131</t>
  </si>
  <si>
    <t>Toomas Ender</t>
  </si>
  <si>
    <t>B06374</t>
  </si>
  <si>
    <t>Heiki Griffel</t>
  </si>
  <si>
    <t>B06363</t>
  </si>
  <si>
    <t>Ott Heiskonen</t>
  </si>
  <si>
    <t>A96122</t>
  </si>
  <si>
    <t>Siim Härmann</t>
  </si>
  <si>
    <t>B06365</t>
  </si>
  <si>
    <t>Toomas Jakobson</t>
  </si>
  <si>
    <t>B06366</t>
  </si>
  <si>
    <t>Ats Joandi</t>
  </si>
  <si>
    <t>B06367</t>
  </si>
  <si>
    <t>Martin Junna</t>
  </si>
  <si>
    <t>B06375</t>
  </si>
  <si>
    <t>Hellika Järvala</t>
  </si>
  <si>
    <t>B06368</t>
  </si>
  <si>
    <t>Siim Järveoja</t>
  </si>
  <si>
    <t>A73877</t>
  </si>
  <si>
    <t>Tanel Jürgens</t>
  </si>
  <si>
    <t>B06369</t>
  </si>
  <si>
    <t>Kaarel Kaasik</t>
  </si>
  <si>
    <t>B06370</t>
  </si>
  <si>
    <t>Valter Kamarik</t>
  </si>
  <si>
    <t>B06371</t>
  </si>
  <si>
    <t>Martin Karolin</t>
  </si>
  <si>
    <t>A92687</t>
  </si>
  <si>
    <t>Priit Karu</t>
  </si>
  <si>
    <t>A96150</t>
  </si>
  <si>
    <t>Margo Keem</t>
  </si>
  <si>
    <t>A96132</t>
  </si>
  <si>
    <t>Rein Kikerpill</t>
  </si>
  <si>
    <t>B06372</t>
  </si>
  <si>
    <t>Taavi Kirss</t>
  </si>
  <si>
    <t>A53322</t>
  </si>
  <si>
    <t>Silver Kivi</t>
  </si>
  <si>
    <t>A96161</t>
  </si>
  <si>
    <t>Mattias Kosemets</t>
  </si>
  <si>
    <t>A96162</t>
  </si>
  <si>
    <t>Pärtel-Peeter Kruuv</t>
  </si>
  <si>
    <t>A92281</t>
  </si>
  <si>
    <t>Triin Kuusemets</t>
  </si>
  <si>
    <t>B06391</t>
  </si>
  <si>
    <t>Kristiina Kärt</t>
  </si>
  <si>
    <t>A73883</t>
  </si>
  <si>
    <t>Robert Laur</t>
  </si>
  <si>
    <t>B06392</t>
  </si>
  <si>
    <t>Risto Leete</t>
  </si>
  <si>
    <t>B06377</t>
  </si>
  <si>
    <t>Katrin Lemet</t>
  </si>
  <si>
    <t>A73868</t>
  </si>
  <si>
    <t>Sander Liivandi</t>
  </si>
  <si>
    <t>B06394</t>
  </si>
  <si>
    <t>Kerstin Likk</t>
  </si>
  <si>
    <t>B06357</t>
  </si>
  <si>
    <t>Keijo Lillo</t>
  </si>
  <si>
    <t>A96128</t>
  </si>
  <si>
    <t>Rauno Ling</t>
  </si>
  <si>
    <t>A62219</t>
  </si>
  <si>
    <t>Mihkel Luidalepp</t>
  </si>
  <si>
    <t>A96155</t>
  </si>
  <si>
    <t>Siim Luigas</t>
  </si>
  <si>
    <t>B06395</t>
  </si>
  <si>
    <t>Hillar Lõbus</t>
  </si>
  <si>
    <t>B06396</t>
  </si>
  <si>
    <t>Karl-Joosep Maidla</t>
  </si>
  <si>
    <t>B06397</t>
  </si>
  <si>
    <t>Juho Mattus</t>
  </si>
  <si>
    <t>B06398</t>
  </si>
  <si>
    <t>Jaak Muru</t>
  </si>
  <si>
    <t>B06399</t>
  </si>
  <si>
    <t>Silvar Muru</t>
  </si>
  <si>
    <t>B06400</t>
  </si>
  <si>
    <t>Mart-Sander Mõts</t>
  </si>
  <si>
    <t>B06378</t>
  </si>
  <si>
    <t>Asko Mäeots</t>
  </si>
  <si>
    <t>A73660</t>
  </si>
  <si>
    <t>Carl-Johann Naanuri</t>
  </si>
  <si>
    <t>A93966</t>
  </si>
  <si>
    <t>Rauno Nuut</t>
  </si>
  <si>
    <t>B06380</t>
  </si>
  <si>
    <t>Kerli Paabo</t>
  </si>
  <si>
    <t>B06401</t>
  </si>
  <si>
    <t>Alari Palumaa</t>
  </si>
  <si>
    <t>B06402</t>
  </si>
  <si>
    <t>Mihkel-Kristjan Pant</t>
  </si>
  <si>
    <t>A96129</t>
  </si>
  <si>
    <t>Karel Pitsal</t>
  </si>
  <si>
    <t>A96165</t>
  </si>
  <si>
    <t>Aleksandr Poškurlat</t>
  </si>
  <si>
    <t>B06403</t>
  </si>
  <si>
    <t>Siim Pärtel</t>
  </si>
  <si>
    <t>B03707</t>
  </si>
  <si>
    <t>Markus Päär</t>
  </si>
  <si>
    <t>B06382</t>
  </si>
  <si>
    <t>Kaspar Raamat</t>
  </si>
  <si>
    <t>B06404</t>
  </si>
  <si>
    <t>Kati Randmäe</t>
  </si>
  <si>
    <t>B06405</t>
  </si>
  <si>
    <t>Rivo Reidla</t>
  </si>
  <si>
    <t>B06406</t>
  </si>
  <si>
    <t>Raino Reiska</t>
  </si>
  <si>
    <t>B06384</t>
  </si>
  <si>
    <t>Kaarel Roopärg</t>
  </si>
  <si>
    <t>B06386</t>
  </si>
  <si>
    <t>Kadri Roose</t>
  </si>
  <si>
    <t>B06356</t>
  </si>
  <si>
    <t>Anna-Liisa Roosild</t>
  </si>
  <si>
    <t>B06407</t>
  </si>
  <si>
    <t>Siim Rumjantsev</t>
  </si>
  <si>
    <t>A96166</t>
  </si>
  <si>
    <t>Tauri Räbokon</t>
  </si>
  <si>
    <t>B06387</t>
  </si>
  <si>
    <t>Mariann Saarend</t>
  </si>
  <si>
    <t>B06358</t>
  </si>
  <si>
    <t>Annett Saarik</t>
  </si>
  <si>
    <t>B06408</t>
  </si>
  <si>
    <t>Mart Saarmann</t>
  </si>
  <si>
    <t>A82804</t>
  </si>
  <si>
    <t>Kertu Saaroja</t>
  </si>
  <si>
    <t>B06388</t>
  </si>
  <si>
    <t>Siim Saks</t>
  </si>
  <si>
    <t>B06409</t>
  </si>
  <si>
    <t>Rait Strandmann</t>
  </si>
  <si>
    <t>B06410</t>
  </si>
  <si>
    <t>Sander Suik</t>
  </si>
  <si>
    <t>A96114</t>
  </si>
  <si>
    <t>Evelin Teras</t>
  </si>
  <si>
    <t>B06411</t>
  </si>
  <si>
    <t>Pille-Riin Tikan</t>
  </si>
  <si>
    <t>A96139</t>
  </si>
  <si>
    <t>Elar Treiman</t>
  </si>
  <si>
    <t>B06412</t>
  </si>
  <si>
    <t>Sten Tuisk</t>
  </si>
  <si>
    <t>B06413</t>
  </si>
  <si>
    <t>Priit Tänav</t>
  </si>
  <si>
    <t>B06389</t>
  </si>
  <si>
    <t>Marko Vaht</t>
  </si>
  <si>
    <t>A96159</t>
  </si>
  <si>
    <t>Andres Valgma</t>
  </si>
  <si>
    <t>B06390</t>
  </si>
  <si>
    <t>Margus Vallistu</t>
  </si>
  <si>
    <t>A91001</t>
  </si>
  <si>
    <t>Elise Veber</t>
  </si>
  <si>
    <t>A96160</t>
  </si>
  <si>
    <t>Allan Veskioja</t>
  </si>
  <si>
    <t>A73915</t>
  </si>
  <si>
    <t>Ats Viljak</t>
  </si>
  <si>
    <t>B06414</t>
  </si>
  <si>
    <t>Juta Vinni</t>
  </si>
  <si>
    <t>B06418</t>
  </si>
  <si>
    <t>Kristin Vodja</t>
  </si>
  <si>
    <t>B06415</t>
  </si>
  <si>
    <t>Even Vohla</t>
  </si>
  <si>
    <t>A72101</t>
  </si>
  <si>
    <t>Nikolai Voitsehhovski</t>
  </si>
  <si>
    <t>B06416</t>
  </si>
  <si>
    <t>Sander Voolmaa</t>
  </si>
  <si>
    <t>A51313</t>
  </si>
  <si>
    <t>Toivo Värbu</t>
  </si>
  <si>
    <t>B06417</t>
  </si>
  <si>
    <t>Martti Ärmpalu</t>
  </si>
  <si>
    <t>1. pr</t>
  </si>
  <si>
    <t>2. pr</t>
  </si>
  <si>
    <t>3. pr</t>
  </si>
  <si>
    <t>4. pr</t>
  </si>
  <si>
    <t>5. pr</t>
  </si>
  <si>
    <t>6. pr</t>
  </si>
  <si>
    <t>7. pr</t>
  </si>
  <si>
    <t>Vladimir Pärnaku</t>
  </si>
  <si>
    <t>KÕRGEM MATEMAATIKA II  MTMM. 00.240</t>
  </si>
  <si>
    <t>Lauri Raag</t>
  </si>
  <si>
    <t>Madis Puusepp</t>
  </si>
  <si>
    <t>Ilya Temaev</t>
  </si>
  <si>
    <t>A73909</t>
  </si>
  <si>
    <t>Roman Kulikov</t>
  </si>
  <si>
    <t>A32397</t>
  </si>
  <si>
    <t>A73892</t>
  </si>
  <si>
    <t>A73902</t>
  </si>
  <si>
    <t>A73894</t>
  </si>
  <si>
    <t>KT 1</t>
  </si>
  <si>
    <t>ül 1</t>
  </si>
  <si>
    <t>ül 2</t>
  </si>
  <si>
    <t>ül 3</t>
  </si>
  <si>
    <t>ül 4</t>
  </si>
  <si>
    <t>ül 5</t>
  </si>
  <si>
    <t>8. pr</t>
  </si>
  <si>
    <t>9. pr</t>
  </si>
  <si>
    <t>10. pr</t>
  </si>
  <si>
    <t>11. pr</t>
  </si>
  <si>
    <t>12. pr</t>
  </si>
  <si>
    <t>13. pr</t>
  </si>
  <si>
    <t>14. pr</t>
  </si>
  <si>
    <t>15. pr</t>
  </si>
  <si>
    <t>KT 2</t>
  </si>
  <si>
    <t>pääseb eksamile</t>
  </si>
  <si>
    <t>Kommentaar</t>
  </si>
  <si>
    <t>järeltöö nr. 2</t>
  </si>
  <si>
    <t>KT nr. 2</t>
  </si>
  <si>
    <t>Lisapunktid kokku</t>
  </si>
  <si>
    <t>Lisapunktid 1.-13.pr</t>
  </si>
  <si>
    <t>EKSAM</t>
  </si>
  <si>
    <t>Teooria</t>
  </si>
  <si>
    <t>Ülesanded</t>
  </si>
  <si>
    <t>KOKKU</t>
  </si>
  <si>
    <t>HINNE</t>
  </si>
  <si>
    <t>A</t>
  </si>
  <si>
    <t>C</t>
  </si>
  <si>
    <t>järeleksam</t>
  </si>
  <si>
    <t>D</t>
  </si>
  <si>
    <t>B</t>
  </si>
  <si>
    <t>E</t>
  </si>
  <si>
    <t>Kristo Aasanurm</t>
  </si>
  <si>
    <t>F</t>
  </si>
  <si>
    <t>MI</t>
  </si>
  <si>
    <t>Triin Pärnoja</t>
  </si>
  <si>
    <t>JÄRELEKSAM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</si>
</sst>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2"/>
      <color indexed="1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0000"/>
      <name val="Calibri"/>
      <family val="2"/>
    </font>
    <font>
      <b/>
      <sz val="12"/>
      <color theme="3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2"/>
      <color theme="1"/>
      <name val="Calibri"/>
      <family val="2"/>
    </font>
    <font>
      <b/>
      <sz val="10"/>
      <color rgb="FF00206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1">
      <selection activeCell="AL1" sqref="AL1:AM1"/>
    </sheetView>
  </sheetViews>
  <sheetFormatPr defaultColWidth="9.140625" defaultRowHeight="15"/>
  <cols>
    <col min="1" max="1" width="3.8515625" style="0" customWidth="1"/>
    <col min="3" max="3" width="9.140625" style="0" hidden="1" customWidth="1"/>
    <col min="6" max="6" width="4.421875" style="0" customWidth="1"/>
    <col min="7" max="7" width="9.140625" style="0" hidden="1" customWidth="1"/>
    <col min="8" max="22" width="2.8515625" style="0" customWidth="1"/>
    <col min="23" max="24" width="3.421875" style="0" customWidth="1"/>
    <col min="25" max="25" width="5.00390625" style="4" customWidth="1"/>
    <col min="26" max="30" width="5.00390625" style="0" customWidth="1"/>
    <col min="31" max="31" width="5.00390625" style="4" customWidth="1"/>
    <col min="32" max="36" width="5.00390625" style="0" customWidth="1"/>
    <col min="37" max="37" width="7.28125" style="0" customWidth="1"/>
    <col min="38" max="39" width="7.421875" style="0" customWidth="1"/>
    <col min="40" max="40" width="7.140625" style="0" customWidth="1"/>
    <col min="41" max="41" width="7.140625" style="11" customWidth="1"/>
    <col min="42" max="42" width="11.8515625" style="18" customWidth="1"/>
  </cols>
  <sheetData>
    <row r="1" spans="2:39" ht="15.75">
      <c r="B1" s="22" t="s">
        <v>182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AL1" s="20" t="s">
        <v>213</v>
      </c>
      <c r="AM1" s="20"/>
    </row>
    <row r="2" spans="8:42" ht="15.75"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198</v>
      </c>
      <c r="P2" t="s">
        <v>199</v>
      </c>
      <c r="Q2" t="s">
        <v>200</v>
      </c>
      <c r="R2" t="s">
        <v>201</v>
      </c>
      <c r="S2" t="s">
        <v>202</v>
      </c>
      <c r="T2" t="s">
        <v>203</v>
      </c>
      <c r="U2" t="s">
        <v>204</v>
      </c>
      <c r="V2" t="s">
        <v>205</v>
      </c>
      <c r="W2" t="s">
        <v>212</v>
      </c>
      <c r="X2" s="4" t="s">
        <v>211</v>
      </c>
      <c r="Y2" s="3" t="s">
        <v>192</v>
      </c>
      <c r="Z2" t="s">
        <v>193</v>
      </c>
      <c r="AA2" t="s">
        <v>194</v>
      </c>
      <c r="AB2" t="s">
        <v>195</v>
      </c>
      <c r="AC2" t="s">
        <v>196</v>
      </c>
      <c r="AD2" t="s">
        <v>197</v>
      </c>
      <c r="AE2" s="3" t="s">
        <v>206</v>
      </c>
      <c r="AF2" t="s">
        <v>193</v>
      </c>
      <c r="AG2" t="s">
        <v>194</v>
      </c>
      <c r="AH2" t="s">
        <v>195</v>
      </c>
      <c r="AI2" t="s">
        <v>196</v>
      </c>
      <c r="AJ2" t="s">
        <v>197</v>
      </c>
      <c r="AK2" s="8" t="s">
        <v>208</v>
      </c>
      <c r="AL2" t="s">
        <v>214</v>
      </c>
      <c r="AM2" t="s">
        <v>215</v>
      </c>
      <c r="AN2" s="8" t="s">
        <v>216</v>
      </c>
      <c r="AO2" s="11" t="s">
        <v>217</v>
      </c>
      <c r="AP2" s="19" t="s">
        <v>228</v>
      </c>
    </row>
    <row r="3" spans="4:42" ht="15.75">
      <c r="D3" s="25" t="s">
        <v>224</v>
      </c>
      <c r="E3" s="25"/>
      <c r="F3" s="25"/>
      <c r="U3" s="9"/>
      <c r="V3" s="9"/>
      <c r="X3" s="16">
        <v>0</v>
      </c>
      <c r="Y3" s="5">
        <f aca="true" t="shared" si="0" ref="Y3:Y23">SUM(Z3:AD3)</f>
        <v>19</v>
      </c>
      <c r="Z3">
        <v>3.5</v>
      </c>
      <c r="AA3">
        <v>4</v>
      </c>
      <c r="AB3">
        <v>3.5</v>
      </c>
      <c r="AC3">
        <v>4</v>
      </c>
      <c r="AD3">
        <v>4</v>
      </c>
      <c r="AE3" s="5">
        <f aca="true" t="shared" si="1" ref="AE3:AE16">SUM(AF3:AJ3)</f>
        <v>10.5</v>
      </c>
      <c r="AF3">
        <v>4</v>
      </c>
      <c r="AG3">
        <v>1.5</v>
      </c>
      <c r="AH3">
        <v>2</v>
      </c>
      <c r="AI3">
        <v>3</v>
      </c>
      <c r="AJ3">
        <v>0</v>
      </c>
      <c r="AK3" s="15" t="s">
        <v>207</v>
      </c>
      <c r="AL3">
        <f>0+1+1+0+2+2+0</f>
        <v>6</v>
      </c>
      <c r="AM3">
        <f>3+1+0+1+0+0</f>
        <v>5</v>
      </c>
      <c r="AN3" s="8">
        <f>X3+Y3+AE3+AL3+AM3</f>
        <v>40.5</v>
      </c>
      <c r="AO3" s="11" t="s">
        <v>225</v>
      </c>
      <c r="AP3" s="18" t="s">
        <v>223</v>
      </c>
    </row>
    <row r="4" spans="1:41" ht="15" customHeight="1">
      <c r="A4" s="1">
        <v>1</v>
      </c>
      <c r="B4" s="21" t="s">
        <v>0</v>
      </c>
      <c r="C4" s="21"/>
      <c r="D4" s="21" t="s">
        <v>1</v>
      </c>
      <c r="E4" s="21"/>
      <c r="F4" s="21"/>
      <c r="G4" s="21"/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0</v>
      </c>
      <c r="T4">
        <v>1</v>
      </c>
      <c r="U4" s="9">
        <v>1</v>
      </c>
      <c r="V4" s="9">
        <v>1</v>
      </c>
      <c r="W4">
        <v>10</v>
      </c>
      <c r="X4" s="10">
        <f>U4+V4+W4</f>
        <v>12</v>
      </c>
      <c r="Y4" s="5">
        <f t="shared" si="0"/>
        <v>13</v>
      </c>
      <c r="Z4">
        <v>2.5</v>
      </c>
      <c r="AA4">
        <v>0.5</v>
      </c>
      <c r="AB4">
        <v>3</v>
      </c>
      <c r="AC4">
        <v>1.5</v>
      </c>
      <c r="AD4">
        <v>5.5</v>
      </c>
      <c r="AE4" s="5">
        <f t="shared" si="1"/>
        <v>16.5</v>
      </c>
      <c r="AF4">
        <v>2.5</v>
      </c>
      <c r="AG4">
        <v>4</v>
      </c>
      <c r="AH4">
        <v>4</v>
      </c>
      <c r="AI4">
        <v>3</v>
      </c>
      <c r="AJ4">
        <v>3</v>
      </c>
      <c r="AK4" t="s">
        <v>207</v>
      </c>
      <c r="AL4">
        <f>1+1+3+2+2+2+1</f>
        <v>12</v>
      </c>
      <c r="AM4">
        <f>4+4+2+3+0+5</f>
        <v>18</v>
      </c>
      <c r="AN4" s="8">
        <f>X4+Y4+AE4+AL4+AM4</f>
        <v>71.5</v>
      </c>
      <c r="AO4" s="11" t="s">
        <v>219</v>
      </c>
    </row>
    <row r="5" spans="1:40" ht="15" customHeight="1">
      <c r="A5" s="1">
        <v>2</v>
      </c>
      <c r="B5" s="21" t="s">
        <v>2</v>
      </c>
      <c r="C5" s="21"/>
      <c r="D5" s="21" t="s">
        <v>3</v>
      </c>
      <c r="E5" s="21"/>
      <c r="F5" s="21"/>
      <c r="G5" s="21"/>
      <c r="H5">
        <v>1</v>
      </c>
      <c r="J5">
        <v>1</v>
      </c>
      <c r="L5">
        <v>0</v>
      </c>
      <c r="M5">
        <v>1</v>
      </c>
      <c r="Q5">
        <v>0</v>
      </c>
      <c r="S5">
        <v>1</v>
      </c>
      <c r="U5" s="9"/>
      <c r="V5" s="9"/>
      <c r="W5">
        <v>4</v>
      </c>
      <c r="X5" s="10">
        <f aca="true" t="shared" si="2" ref="X5:X69">U5+V5+W5</f>
        <v>4</v>
      </c>
      <c r="Y5" s="5">
        <f t="shared" si="0"/>
        <v>0</v>
      </c>
      <c r="AE5" s="5">
        <f t="shared" si="1"/>
        <v>0</v>
      </c>
      <c r="AN5" s="8">
        <f aca="true" t="shared" si="3" ref="AN5:AN69">X5+Y5+AE5+AL5+AM5</f>
        <v>4</v>
      </c>
    </row>
    <row r="6" spans="1:41" ht="15" customHeight="1">
      <c r="A6" s="1">
        <v>3</v>
      </c>
      <c r="B6" s="21" t="s">
        <v>4</v>
      </c>
      <c r="C6" s="21"/>
      <c r="D6" s="21" t="s">
        <v>5</v>
      </c>
      <c r="E6" s="21"/>
      <c r="F6" s="21"/>
      <c r="G6" s="21"/>
      <c r="I6">
        <v>0</v>
      </c>
      <c r="J6">
        <v>1</v>
      </c>
      <c r="K6">
        <v>1</v>
      </c>
      <c r="S6">
        <v>0</v>
      </c>
      <c r="T6">
        <v>0</v>
      </c>
      <c r="U6" s="9"/>
      <c r="V6" s="9">
        <v>4</v>
      </c>
      <c r="W6">
        <v>2</v>
      </c>
      <c r="X6" s="10">
        <f t="shared" si="2"/>
        <v>6</v>
      </c>
      <c r="Y6" s="5">
        <f t="shared" si="0"/>
        <v>12</v>
      </c>
      <c r="Z6">
        <v>4</v>
      </c>
      <c r="AA6">
        <v>0</v>
      </c>
      <c r="AB6">
        <v>4</v>
      </c>
      <c r="AC6">
        <v>4</v>
      </c>
      <c r="AD6">
        <v>0</v>
      </c>
      <c r="AE6" s="5">
        <f t="shared" si="1"/>
        <v>7</v>
      </c>
      <c r="AF6">
        <v>3</v>
      </c>
      <c r="AG6">
        <v>4</v>
      </c>
      <c r="AH6">
        <v>0</v>
      </c>
      <c r="AI6">
        <v>0</v>
      </c>
      <c r="AJ6">
        <v>0</v>
      </c>
      <c r="AK6" t="s">
        <v>207</v>
      </c>
      <c r="AL6">
        <f>5+2+6+2+0+0+2</f>
        <v>17</v>
      </c>
      <c r="AM6">
        <f>1+4+0+5+0+5</f>
        <v>15</v>
      </c>
      <c r="AN6" s="8">
        <f t="shared" si="3"/>
        <v>57</v>
      </c>
      <c r="AO6" s="11" t="s">
        <v>223</v>
      </c>
    </row>
    <row r="7" spans="1:41" ht="15" customHeight="1">
      <c r="A7" s="1">
        <v>4</v>
      </c>
      <c r="B7" s="21" t="s">
        <v>6</v>
      </c>
      <c r="C7" s="21"/>
      <c r="D7" s="21" t="s">
        <v>7</v>
      </c>
      <c r="E7" s="21"/>
      <c r="F7" s="21"/>
      <c r="G7" s="21"/>
      <c r="H7">
        <v>1</v>
      </c>
      <c r="J7">
        <v>1</v>
      </c>
      <c r="L7">
        <v>1</v>
      </c>
      <c r="M7">
        <v>1</v>
      </c>
      <c r="Q7">
        <v>1</v>
      </c>
      <c r="R7">
        <v>0</v>
      </c>
      <c r="U7" s="9"/>
      <c r="V7" s="9">
        <v>0</v>
      </c>
      <c r="W7">
        <v>5</v>
      </c>
      <c r="X7" s="10">
        <f t="shared" si="2"/>
        <v>5</v>
      </c>
      <c r="Y7" s="5">
        <f t="shared" si="0"/>
        <v>7</v>
      </c>
      <c r="Z7" s="12">
        <v>3.5</v>
      </c>
      <c r="AA7" s="12">
        <v>0</v>
      </c>
      <c r="AB7" s="12">
        <v>3</v>
      </c>
      <c r="AC7" s="12">
        <v>0</v>
      </c>
      <c r="AD7" s="12">
        <v>0.5</v>
      </c>
      <c r="AE7" s="5">
        <f t="shared" si="1"/>
        <v>7</v>
      </c>
      <c r="AF7" s="7">
        <v>1.5</v>
      </c>
      <c r="AG7" s="7">
        <v>4</v>
      </c>
      <c r="AH7" s="7">
        <v>0.5</v>
      </c>
      <c r="AI7" s="7">
        <v>0</v>
      </c>
      <c r="AJ7" s="7">
        <v>1</v>
      </c>
      <c r="AK7" t="s">
        <v>220</v>
      </c>
      <c r="AN7" s="8">
        <f t="shared" si="3"/>
        <v>19</v>
      </c>
      <c r="AO7" s="11" t="s">
        <v>225</v>
      </c>
    </row>
    <row r="8" spans="1:41" ht="15" customHeight="1">
      <c r="A8" s="1">
        <v>5</v>
      </c>
      <c r="B8" s="21" t="s">
        <v>8</v>
      </c>
      <c r="C8" s="21"/>
      <c r="D8" s="21" t="s">
        <v>9</v>
      </c>
      <c r="E8" s="21"/>
      <c r="F8" s="21"/>
      <c r="G8" s="21"/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9">
        <v>0</v>
      </c>
      <c r="V8" s="9"/>
      <c r="W8">
        <v>1</v>
      </c>
      <c r="X8" s="10">
        <f t="shared" si="2"/>
        <v>1</v>
      </c>
      <c r="Y8" s="5">
        <f t="shared" si="0"/>
        <v>20</v>
      </c>
      <c r="Z8" s="12">
        <v>4</v>
      </c>
      <c r="AA8" s="12">
        <v>4</v>
      </c>
      <c r="AB8" s="12">
        <v>4</v>
      </c>
      <c r="AC8" s="12">
        <v>4</v>
      </c>
      <c r="AD8" s="12">
        <v>4</v>
      </c>
      <c r="AE8" s="5">
        <f t="shared" si="1"/>
        <v>18</v>
      </c>
      <c r="AF8" s="7">
        <v>3</v>
      </c>
      <c r="AG8" s="7">
        <v>4</v>
      </c>
      <c r="AH8" s="7">
        <v>4</v>
      </c>
      <c r="AI8" s="7">
        <v>4</v>
      </c>
      <c r="AJ8" s="7">
        <v>3</v>
      </c>
      <c r="AK8" t="s">
        <v>207</v>
      </c>
      <c r="AL8">
        <f>7+2+3+4+2+3+2</f>
        <v>23</v>
      </c>
      <c r="AM8">
        <f>3.5+4.5+5+5+5+2</f>
        <v>25</v>
      </c>
      <c r="AN8" s="8">
        <f t="shared" si="3"/>
        <v>87</v>
      </c>
      <c r="AO8" s="11" t="s">
        <v>222</v>
      </c>
    </row>
    <row r="9" spans="1:41" ht="15" customHeight="1">
      <c r="A9" s="1">
        <v>6</v>
      </c>
      <c r="B9" s="21" t="s">
        <v>10</v>
      </c>
      <c r="C9" s="21"/>
      <c r="D9" s="21" t="s">
        <v>11</v>
      </c>
      <c r="E9" s="21"/>
      <c r="F9" s="21"/>
      <c r="G9" s="21"/>
      <c r="H9">
        <v>0</v>
      </c>
      <c r="I9">
        <v>0</v>
      </c>
      <c r="L9">
        <v>0</v>
      </c>
      <c r="N9">
        <v>0</v>
      </c>
      <c r="P9">
        <v>0</v>
      </c>
      <c r="U9" s="9"/>
      <c r="V9" s="9"/>
      <c r="W9">
        <v>0</v>
      </c>
      <c r="X9" s="10">
        <f t="shared" si="2"/>
        <v>0</v>
      </c>
      <c r="Y9" s="5">
        <f t="shared" si="0"/>
        <v>15</v>
      </c>
      <c r="Z9">
        <v>2</v>
      </c>
      <c r="AA9">
        <v>2.5</v>
      </c>
      <c r="AB9">
        <v>2.5</v>
      </c>
      <c r="AC9">
        <v>2.5</v>
      </c>
      <c r="AD9">
        <v>5.5</v>
      </c>
      <c r="AE9" s="5">
        <f t="shared" si="1"/>
        <v>8.5</v>
      </c>
      <c r="AF9" s="7">
        <v>0</v>
      </c>
      <c r="AG9" s="7">
        <v>0</v>
      </c>
      <c r="AH9" s="7">
        <v>1.5</v>
      </c>
      <c r="AI9" s="7">
        <v>4</v>
      </c>
      <c r="AJ9" s="7">
        <v>3</v>
      </c>
      <c r="AK9" t="s">
        <v>207</v>
      </c>
      <c r="AL9">
        <f>7+1+5+3+0+3+0</f>
        <v>19</v>
      </c>
      <c r="AM9">
        <f>0.5+2.5+3+4.5+0+5</f>
        <v>15.5</v>
      </c>
      <c r="AN9" s="8">
        <f t="shared" si="3"/>
        <v>58</v>
      </c>
      <c r="AO9" s="11" t="s">
        <v>223</v>
      </c>
    </row>
    <row r="10" spans="1:41" ht="15" customHeight="1">
      <c r="A10" s="1">
        <v>7</v>
      </c>
      <c r="B10" s="21" t="s">
        <v>12</v>
      </c>
      <c r="C10" s="21"/>
      <c r="D10" s="21" t="s">
        <v>13</v>
      </c>
      <c r="E10" s="21"/>
      <c r="F10" s="21"/>
      <c r="G10" s="21"/>
      <c r="H10">
        <v>1</v>
      </c>
      <c r="K10">
        <v>0</v>
      </c>
      <c r="T10">
        <v>1</v>
      </c>
      <c r="U10" s="9">
        <v>2</v>
      </c>
      <c r="V10" s="9"/>
      <c r="W10">
        <v>2</v>
      </c>
      <c r="X10" s="10">
        <f t="shared" si="2"/>
        <v>4</v>
      </c>
      <c r="Y10" s="5">
        <f t="shared" si="0"/>
        <v>9</v>
      </c>
      <c r="Z10">
        <v>4</v>
      </c>
      <c r="AA10">
        <v>0</v>
      </c>
      <c r="AB10">
        <v>1</v>
      </c>
      <c r="AC10">
        <v>2</v>
      </c>
      <c r="AD10">
        <v>2</v>
      </c>
      <c r="AE10" s="5">
        <f t="shared" si="1"/>
        <v>11</v>
      </c>
      <c r="AF10">
        <v>1</v>
      </c>
      <c r="AG10">
        <v>3</v>
      </c>
      <c r="AH10">
        <v>4</v>
      </c>
      <c r="AI10">
        <v>3</v>
      </c>
      <c r="AJ10">
        <v>0</v>
      </c>
      <c r="AK10" t="s">
        <v>207</v>
      </c>
      <c r="AL10">
        <f>7+2+7+4+1+3+4</f>
        <v>28</v>
      </c>
      <c r="AM10">
        <f>3+0+0+0+0+4</f>
        <v>7</v>
      </c>
      <c r="AN10" s="8">
        <f t="shared" si="3"/>
        <v>59</v>
      </c>
      <c r="AO10" s="11" t="s">
        <v>223</v>
      </c>
    </row>
    <row r="11" spans="1:41" ht="15" customHeight="1">
      <c r="A11" s="1">
        <v>8</v>
      </c>
      <c r="B11" s="21" t="s">
        <v>14</v>
      </c>
      <c r="C11" s="21"/>
      <c r="D11" s="21" t="s">
        <v>15</v>
      </c>
      <c r="E11" s="21"/>
      <c r="F11" s="21"/>
      <c r="G11" s="21"/>
      <c r="H11">
        <v>0</v>
      </c>
      <c r="I11">
        <v>0</v>
      </c>
      <c r="K11">
        <v>1</v>
      </c>
      <c r="L11">
        <v>1</v>
      </c>
      <c r="M11">
        <v>1</v>
      </c>
      <c r="N11">
        <v>1</v>
      </c>
      <c r="O11">
        <v>1</v>
      </c>
      <c r="P11">
        <v>0</v>
      </c>
      <c r="Q11">
        <v>1</v>
      </c>
      <c r="S11">
        <v>0</v>
      </c>
      <c r="T11">
        <v>0</v>
      </c>
      <c r="U11" s="9">
        <v>0</v>
      </c>
      <c r="V11" s="9">
        <v>1</v>
      </c>
      <c r="W11">
        <v>6</v>
      </c>
      <c r="X11" s="10">
        <f t="shared" si="2"/>
        <v>7</v>
      </c>
      <c r="Y11" s="5">
        <f t="shared" si="0"/>
        <v>8</v>
      </c>
      <c r="Z11">
        <v>4</v>
      </c>
      <c r="AA11">
        <v>0</v>
      </c>
      <c r="AB11">
        <v>1</v>
      </c>
      <c r="AC11">
        <v>1</v>
      </c>
      <c r="AD11">
        <v>2</v>
      </c>
      <c r="AE11" s="5">
        <f t="shared" si="1"/>
        <v>12</v>
      </c>
      <c r="AF11">
        <v>3</v>
      </c>
      <c r="AG11">
        <v>4</v>
      </c>
      <c r="AH11">
        <v>3</v>
      </c>
      <c r="AI11">
        <v>1</v>
      </c>
      <c r="AJ11">
        <v>1</v>
      </c>
      <c r="AK11" t="s">
        <v>207</v>
      </c>
      <c r="AL11">
        <f>3+2+1+0+2+0+4</f>
        <v>12</v>
      </c>
      <c r="AM11">
        <f>5+4.5+0+1+0+5</f>
        <v>15.5</v>
      </c>
      <c r="AN11" s="8">
        <f t="shared" si="3"/>
        <v>54.5</v>
      </c>
      <c r="AO11" s="11" t="s">
        <v>223</v>
      </c>
    </row>
    <row r="12" spans="1:41" ht="15" customHeight="1">
      <c r="A12" s="1">
        <v>9</v>
      </c>
      <c r="B12" s="21" t="s">
        <v>16</v>
      </c>
      <c r="C12" s="21"/>
      <c r="D12" s="21" t="s">
        <v>17</v>
      </c>
      <c r="E12" s="21"/>
      <c r="F12" s="21"/>
      <c r="G12" s="21"/>
      <c r="H12">
        <v>1</v>
      </c>
      <c r="J12">
        <v>1</v>
      </c>
      <c r="K12">
        <v>1</v>
      </c>
      <c r="L12">
        <v>0</v>
      </c>
      <c r="M12">
        <v>1</v>
      </c>
      <c r="N12">
        <v>1</v>
      </c>
      <c r="O12">
        <v>1</v>
      </c>
      <c r="R12">
        <v>0</v>
      </c>
      <c r="S12">
        <v>1</v>
      </c>
      <c r="U12" s="9"/>
      <c r="V12" s="9">
        <v>3</v>
      </c>
      <c r="W12">
        <v>7</v>
      </c>
      <c r="X12" s="10">
        <f t="shared" si="2"/>
        <v>10</v>
      </c>
      <c r="Y12" s="5">
        <f t="shared" si="0"/>
        <v>19</v>
      </c>
      <c r="Z12">
        <v>3</v>
      </c>
      <c r="AA12">
        <v>3</v>
      </c>
      <c r="AB12">
        <v>3</v>
      </c>
      <c r="AC12">
        <v>2.5</v>
      </c>
      <c r="AD12">
        <v>7.5</v>
      </c>
      <c r="AE12" s="5">
        <f t="shared" si="1"/>
        <v>17</v>
      </c>
      <c r="AF12">
        <v>2</v>
      </c>
      <c r="AG12">
        <v>4</v>
      </c>
      <c r="AH12">
        <v>4</v>
      </c>
      <c r="AI12">
        <v>4</v>
      </c>
      <c r="AJ12">
        <v>3</v>
      </c>
      <c r="AK12" t="s">
        <v>207</v>
      </c>
      <c r="AL12">
        <f>5+1+5+1+2+3+0</f>
        <v>17</v>
      </c>
      <c r="AM12">
        <f>3+3+0+0+0+5</f>
        <v>11</v>
      </c>
      <c r="AN12" s="8">
        <f t="shared" si="3"/>
        <v>74</v>
      </c>
      <c r="AO12" s="11" t="s">
        <v>219</v>
      </c>
    </row>
    <row r="13" spans="1:41" ht="15" customHeight="1">
      <c r="A13" s="1">
        <v>10</v>
      </c>
      <c r="B13" s="21" t="s">
        <v>18</v>
      </c>
      <c r="C13" s="21"/>
      <c r="D13" s="21" t="s">
        <v>19</v>
      </c>
      <c r="E13" s="21"/>
      <c r="F13" s="21"/>
      <c r="G13" s="21"/>
      <c r="I13">
        <v>0</v>
      </c>
      <c r="J13">
        <v>1</v>
      </c>
      <c r="K13">
        <v>1</v>
      </c>
      <c r="L13">
        <v>0</v>
      </c>
      <c r="P13">
        <v>0</v>
      </c>
      <c r="U13" s="9"/>
      <c r="V13" s="9"/>
      <c r="W13">
        <v>2</v>
      </c>
      <c r="X13" s="10">
        <f t="shared" si="2"/>
        <v>2</v>
      </c>
      <c r="Y13" s="5">
        <f t="shared" si="0"/>
        <v>0</v>
      </c>
      <c r="AE13" s="5">
        <f t="shared" si="1"/>
        <v>0</v>
      </c>
      <c r="AN13" s="8">
        <f t="shared" si="3"/>
        <v>2</v>
      </c>
      <c r="AO13" s="11" t="s">
        <v>226</v>
      </c>
    </row>
    <row r="14" spans="1:41" ht="15" customHeight="1">
      <c r="A14" s="1">
        <v>11</v>
      </c>
      <c r="B14" s="21" t="s">
        <v>20</v>
      </c>
      <c r="C14" s="21"/>
      <c r="D14" s="21" t="s">
        <v>21</v>
      </c>
      <c r="E14" s="21"/>
      <c r="F14" s="21"/>
      <c r="G14" s="21"/>
      <c r="H14">
        <v>0</v>
      </c>
      <c r="I14">
        <v>0</v>
      </c>
      <c r="Q14">
        <v>0</v>
      </c>
      <c r="U14" s="9">
        <v>0</v>
      </c>
      <c r="V14" s="9"/>
      <c r="W14">
        <v>0</v>
      </c>
      <c r="X14" s="10">
        <f t="shared" si="2"/>
        <v>0</v>
      </c>
      <c r="Y14" s="5">
        <f t="shared" si="0"/>
        <v>10.5</v>
      </c>
      <c r="Z14">
        <v>2</v>
      </c>
      <c r="AA14">
        <v>3</v>
      </c>
      <c r="AB14">
        <v>0</v>
      </c>
      <c r="AC14">
        <v>2.5</v>
      </c>
      <c r="AD14">
        <v>3</v>
      </c>
      <c r="AE14" s="5">
        <f t="shared" si="1"/>
        <v>9</v>
      </c>
      <c r="AF14" s="7">
        <v>2.5</v>
      </c>
      <c r="AG14" s="7">
        <v>2.5</v>
      </c>
      <c r="AH14" s="7">
        <v>3.5</v>
      </c>
      <c r="AI14" s="7">
        <v>0.5</v>
      </c>
      <c r="AJ14" s="7">
        <v>0</v>
      </c>
      <c r="AK14" t="s">
        <v>207</v>
      </c>
      <c r="AL14">
        <f>6+2+3+2+1+4+1</f>
        <v>19</v>
      </c>
      <c r="AM14">
        <f>5+5+5+0+0+5</f>
        <v>20</v>
      </c>
      <c r="AN14" s="8">
        <f t="shared" si="3"/>
        <v>58.5</v>
      </c>
      <c r="AO14" s="11" t="s">
        <v>223</v>
      </c>
    </row>
    <row r="15" spans="1:42" ht="15" customHeight="1">
      <c r="A15" s="1">
        <v>12</v>
      </c>
      <c r="B15" s="21" t="s">
        <v>22</v>
      </c>
      <c r="C15" s="21"/>
      <c r="D15" s="21" t="s">
        <v>23</v>
      </c>
      <c r="E15" s="21"/>
      <c r="F15" s="21"/>
      <c r="G15" s="21"/>
      <c r="H15">
        <v>0</v>
      </c>
      <c r="I15">
        <v>0</v>
      </c>
      <c r="K15">
        <v>0</v>
      </c>
      <c r="M15">
        <v>0</v>
      </c>
      <c r="N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9"/>
      <c r="V15" s="9">
        <v>4</v>
      </c>
      <c r="W15">
        <v>0</v>
      </c>
      <c r="X15" s="10">
        <f t="shared" si="2"/>
        <v>4</v>
      </c>
      <c r="Y15" s="5">
        <f t="shared" si="0"/>
        <v>11</v>
      </c>
      <c r="Z15">
        <v>1</v>
      </c>
      <c r="AA15">
        <v>0</v>
      </c>
      <c r="AB15">
        <v>1.5</v>
      </c>
      <c r="AC15">
        <v>3</v>
      </c>
      <c r="AD15">
        <v>5.5</v>
      </c>
      <c r="AE15" s="5">
        <f t="shared" si="1"/>
        <v>13</v>
      </c>
      <c r="AF15" s="7">
        <v>4</v>
      </c>
      <c r="AG15" s="7">
        <v>2.5</v>
      </c>
      <c r="AH15" s="7">
        <v>4</v>
      </c>
      <c r="AI15" s="7">
        <v>0.5</v>
      </c>
      <c r="AJ15" s="7">
        <v>2</v>
      </c>
      <c r="AK15" t="s">
        <v>207</v>
      </c>
      <c r="AL15">
        <f>5+2+1+1+2+1+0</f>
        <v>12</v>
      </c>
      <c r="AM15">
        <f>3+0+1+1+1+2</f>
        <v>8</v>
      </c>
      <c r="AN15" s="8">
        <f t="shared" si="3"/>
        <v>48</v>
      </c>
      <c r="AO15" s="11" t="s">
        <v>225</v>
      </c>
      <c r="AP15" s="18" t="s">
        <v>219</v>
      </c>
    </row>
    <row r="16" spans="1:41" ht="15" customHeight="1">
      <c r="A16" s="1">
        <v>13</v>
      </c>
      <c r="B16" s="21" t="s">
        <v>24</v>
      </c>
      <c r="C16" s="21"/>
      <c r="D16" s="21" t="s">
        <v>25</v>
      </c>
      <c r="E16" s="21"/>
      <c r="F16" s="21"/>
      <c r="G16" s="21"/>
      <c r="J16">
        <v>1</v>
      </c>
      <c r="L16">
        <v>1</v>
      </c>
      <c r="M16">
        <v>1</v>
      </c>
      <c r="N16">
        <v>1</v>
      </c>
      <c r="O16">
        <v>1</v>
      </c>
      <c r="P16">
        <v>0</v>
      </c>
      <c r="Q16">
        <v>1</v>
      </c>
      <c r="T16">
        <v>1</v>
      </c>
      <c r="U16" s="9">
        <v>1</v>
      </c>
      <c r="V16" s="9">
        <v>4</v>
      </c>
      <c r="W16">
        <v>7</v>
      </c>
      <c r="X16" s="10">
        <f t="shared" si="2"/>
        <v>12</v>
      </c>
      <c r="Y16" s="5">
        <f t="shared" si="0"/>
        <v>17</v>
      </c>
      <c r="Z16">
        <v>2.5</v>
      </c>
      <c r="AA16">
        <v>2.5</v>
      </c>
      <c r="AB16">
        <v>3</v>
      </c>
      <c r="AC16">
        <v>3</v>
      </c>
      <c r="AD16">
        <v>6</v>
      </c>
      <c r="AE16" s="5">
        <f t="shared" si="1"/>
        <v>17.5</v>
      </c>
      <c r="AF16" s="7">
        <v>3</v>
      </c>
      <c r="AG16" s="7">
        <v>4</v>
      </c>
      <c r="AH16" s="7">
        <v>3.5</v>
      </c>
      <c r="AI16" s="7">
        <v>3</v>
      </c>
      <c r="AJ16" s="7">
        <v>4</v>
      </c>
      <c r="AK16" t="s">
        <v>207</v>
      </c>
      <c r="AL16">
        <f>0+1+6+4+0+2+2</f>
        <v>15</v>
      </c>
      <c r="AM16">
        <f>1.5+4+1+5+3+2</f>
        <v>16.5</v>
      </c>
      <c r="AN16" s="8">
        <f t="shared" si="3"/>
        <v>78</v>
      </c>
      <c r="AO16" s="11" t="s">
        <v>219</v>
      </c>
    </row>
    <row r="17" spans="1:42" ht="15" customHeight="1">
      <c r="A17" s="1">
        <v>14</v>
      </c>
      <c r="B17" s="21" t="s">
        <v>26</v>
      </c>
      <c r="C17" s="21"/>
      <c r="D17" s="21" t="s">
        <v>27</v>
      </c>
      <c r="E17" s="21"/>
      <c r="F17" s="21"/>
      <c r="G17" s="21"/>
      <c r="I17">
        <v>0</v>
      </c>
      <c r="K17">
        <v>0</v>
      </c>
      <c r="M17">
        <v>0</v>
      </c>
      <c r="P17">
        <v>0</v>
      </c>
      <c r="Q17">
        <v>0</v>
      </c>
      <c r="R17">
        <v>0</v>
      </c>
      <c r="S17">
        <v>0</v>
      </c>
      <c r="U17" s="9"/>
      <c r="V17" s="9">
        <v>0</v>
      </c>
      <c r="W17">
        <v>0</v>
      </c>
      <c r="X17" s="10">
        <f t="shared" si="2"/>
        <v>0</v>
      </c>
      <c r="Y17" s="5">
        <f t="shared" si="0"/>
        <v>12</v>
      </c>
      <c r="Z17" s="12">
        <v>2</v>
      </c>
      <c r="AA17" s="12">
        <v>2</v>
      </c>
      <c r="AB17" s="12">
        <v>3</v>
      </c>
      <c r="AC17" s="12">
        <v>3</v>
      </c>
      <c r="AD17" s="12">
        <v>2</v>
      </c>
      <c r="AE17" s="5">
        <f aca="true" t="shared" si="4" ref="AE17:AE46">SUM(AF17:AJ17)</f>
        <v>15.5</v>
      </c>
      <c r="AF17" s="7">
        <v>2</v>
      </c>
      <c r="AG17" s="7">
        <v>3</v>
      </c>
      <c r="AH17" s="7">
        <v>4</v>
      </c>
      <c r="AI17" s="7">
        <v>3.5</v>
      </c>
      <c r="AJ17" s="7">
        <v>3</v>
      </c>
      <c r="AK17" t="s">
        <v>207</v>
      </c>
      <c r="AL17">
        <f>4+0+3+2+0+3+1</f>
        <v>13</v>
      </c>
      <c r="AM17">
        <f>0+1+1+1+0+4</f>
        <v>7</v>
      </c>
      <c r="AN17" s="8">
        <f t="shared" si="3"/>
        <v>47.5</v>
      </c>
      <c r="AO17" s="11" t="s">
        <v>225</v>
      </c>
      <c r="AP17" s="18" t="s">
        <v>221</v>
      </c>
    </row>
    <row r="18" spans="1:41" ht="15" customHeight="1">
      <c r="A18" s="1">
        <v>15</v>
      </c>
      <c r="B18" s="21" t="s">
        <v>28</v>
      </c>
      <c r="C18" s="21"/>
      <c r="D18" s="21" t="s">
        <v>29</v>
      </c>
      <c r="E18" s="21"/>
      <c r="F18" s="21"/>
      <c r="G18" s="21"/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0</v>
      </c>
      <c r="S18">
        <v>1</v>
      </c>
      <c r="T18">
        <v>1</v>
      </c>
      <c r="U18" s="9">
        <v>1</v>
      </c>
      <c r="V18" s="9">
        <v>1</v>
      </c>
      <c r="W18">
        <v>10</v>
      </c>
      <c r="X18" s="10">
        <f t="shared" si="2"/>
        <v>12</v>
      </c>
      <c r="Y18" s="5">
        <f t="shared" si="0"/>
        <v>13.5</v>
      </c>
      <c r="Z18">
        <v>2.5</v>
      </c>
      <c r="AA18">
        <v>0</v>
      </c>
      <c r="AB18">
        <v>3</v>
      </c>
      <c r="AC18">
        <v>2</v>
      </c>
      <c r="AD18">
        <v>6</v>
      </c>
      <c r="AE18" s="5">
        <f t="shared" si="4"/>
        <v>13.5</v>
      </c>
      <c r="AF18">
        <v>4</v>
      </c>
      <c r="AG18">
        <v>3.5</v>
      </c>
      <c r="AH18">
        <v>4</v>
      </c>
      <c r="AI18">
        <v>1</v>
      </c>
      <c r="AJ18">
        <v>1</v>
      </c>
      <c r="AK18" t="s">
        <v>207</v>
      </c>
      <c r="AL18">
        <f>0+1+6+0+2+3+4</f>
        <v>16</v>
      </c>
      <c r="AM18">
        <f>1+0+0+1+0+4.5</f>
        <v>6.5</v>
      </c>
      <c r="AN18" s="8">
        <f t="shared" si="3"/>
        <v>61.5</v>
      </c>
      <c r="AO18" s="11" t="s">
        <v>221</v>
      </c>
    </row>
    <row r="19" spans="1:41" ht="15" customHeight="1">
      <c r="A19" s="1">
        <v>16</v>
      </c>
      <c r="B19" s="21" t="s">
        <v>30</v>
      </c>
      <c r="C19" s="21"/>
      <c r="D19" s="21" t="s">
        <v>31</v>
      </c>
      <c r="E19" s="21"/>
      <c r="F19" s="21"/>
      <c r="G19" s="21"/>
      <c r="I19">
        <v>0</v>
      </c>
      <c r="J19">
        <v>0</v>
      </c>
      <c r="K19">
        <v>1</v>
      </c>
      <c r="L19">
        <v>0</v>
      </c>
      <c r="N19">
        <v>0</v>
      </c>
      <c r="O19">
        <v>1</v>
      </c>
      <c r="U19" s="9"/>
      <c r="V19" s="9"/>
      <c r="W19">
        <v>2</v>
      </c>
      <c r="X19" s="10">
        <f t="shared" si="2"/>
        <v>2</v>
      </c>
      <c r="Y19" s="5">
        <f t="shared" si="0"/>
        <v>6.5</v>
      </c>
      <c r="Z19">
        <v>1</v>
      </c>
      <c r="AA19">
        <v>0.5</v>
      </c>
      <c r="AB19">
        <v>1.5</v>
      </c>
      <c r="AC19">
        <v>0.5</v>
      </c>
      <c r="AD19">
        <v>3</v>
      </c>
      <c r="AE19" s="5">
        <f t="shared" si="4"/>
        <v>0</v>
      </c>
      <c r="AK19" t="s">
        <v>210</v>
      </c>
      <c r="AN19" s="8">
        <f t="shared" si="3"/>
        <v>8.5</v>
      </c>
      <c r="AO19" s="11" t="s">
        <v>226</v>
      </c>
    </row>
    <row r="20" spans="1:41" ht="15" customHeight="1">
      <c r="A20" s="1">
        <v>17</v>
      </c>
      <c r="B20" s="21" t="s">
        <v>32</v>
      </c>
      <c r="C20" s="21"/>
      <c r="D20" s="21" t="s">
        <v>33</v>
      </c>
      <c r="E20" s="21"/>
      <c r="F20" s="21"/>
      <c r="G20" s="21"/>
      <c r="J20">
        <v>1</v>
      </c>
      <c r="K20">
        <v>0</v>
      </c>
      <c r="L20">
        <v>0</v>
      </c>
      <c r="M20">
        <v>1</v>
      </c>
      <c r="N20">
        <v>1</v>
      </c>
      <c r="O20">
        <v>1</v>
      </c>
      <c r="Q20">
        <v>0</v>
      </c>
      <c r="R20">
        <v>0</v>
      </c>
      <c r="S20">
        <v>0</v>
      </c>
      <c r="T20">
        <v>0</v>
      </c>
      <c r="U20" s="9">
        <v>3</v>
      </c>
      <c r="V20" s="9">
        <v>4</v>
      </c>
      <c r="W20">
        <v>4</v>
      </c>
      <c r="X20" s="10">
        <f t="shared" si="2"/>
        <v>11</v>
      </c>
      <c r="Y20" s="5">
        <f t="shared" si="0"/>
        <v>13.5</v>
      </c>
      <c r="Z20">
        <v>2</v>
      </c>
      <c r="AA20">
        <v>1</v>
      </c>
      <c r="AB20">
        <v>2.5</v>
      </c>
      <c r="AC20">
        <v>2</v>
      </c>
      <c r="AD20">
        <v>6</v>
      </c>
      <c r="AE20" s="5">
        <f t="shared" si="4"/>
        <v>16</v>
      </c>
      <c r="AF20" s="12">
        <v>0.5</v>
      </c>
      <c r="AG20" s="12">
        <v>4</v>
      </c>
      <c r="AH20" s="12">
        <v>4</v>
      </c>
      <c r="AI20" s="12">
        <v>4</v>
      </c>
      <c r="AJ20" s="12">
        <v>3.5</v>
      </c>
      <c r="AK20" t="s">
        <v>207</v>
      </c>
      <c r="AL20">
        <f>0+0+3+0+2+1+2</f>
        <v>8</v>
      </c>
      <c r="AM20">
        <f>2+4.5+2+0+0+5</f>
        <v>13.5</v>
      </c>
      <c r="AN20" s="8">
        <f t="shared" si="3"/>
        <v>62</v>
      </c>
      <c r="AO20" s="11" t="s">
        <v>221</v>
      </c>
    </row>
    <row r="21" spans="1:42" ht="15" customHeight="1">
      <c r="A21" s="1">
        <v>18</v>
      </c>
      <c r="B21" s="21" t="s">
        <v>34</v>
      </c>
      <c r="C21" s="21"/>
      <c r="D21" s="21" t="s">
        <v>35</v>
      </c>
      <c r="E21" s="21"/>
      <c r="F21" s="21"/>
      <c r="G21" s="21"/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0</v>
      </c>
      <c r="T21">
        <v>0</v>
      </c>
      <c r="U21" s="9"/>
      <c r="V21" s="9">
        <v>0</v>
      </c>
      <c r="W21">
        <v>10</v>
      </c>
      <c r="X21" s="10">
        <f t="shared" si="2"/>
        <v>10</v>
      </c>
      <c r="Y21" s="5">
        <f t="shared" si="0"/>
        <v>11</v>
      </c>
      <c r="Z21" s="12">
        <v>2</v>
      </c>
      <c r="AA21" s="12">
        <v>3</v>
      </c>
      <c r="AB21" s="12">
        <v>0</v>
      </c>
      <c r="AC21" s="12">
        <v>2</v>
      </c>
      <c r="AD21" s="12">
        <v>4</v>
      </c>
      <c r="AE21" s="5">
        <f t="shared" si="4"/>
        <v>17</v>
      </c>
      <c r="AF21">
        <v>3.5</v>
      </c>
      <c r="AG21">
        <v>3.5</v>
      </c>
      <c r="AH21">
        <v>3.5</v>
      </c>
      <c r="AI21">
        <v>3.5</v>
      </c>
      <c r="AJ21">
        <v>3</v>
      </c>
      <c r="AK21" t="s">
        <v>207</v>
      </c>
      <c r="AL21">
        <f>1+1+0+0+2+0+0</f>
        <v>4</v>
      </c>
      <c r="AM21">
        <f>2+1+1+2+0+1</f>
        <v>7</v>
      </c>
      <c r="AN21" s="8">
        <f t="shared" si="3"/>
        <v>49</v>
      </c>
      <c r="AO21" s="11" t="s">
        <v>225</v>
      </c>
      <c r="AP21" s="18" t="s">
        <v>223</v>
      </c>
    </row>
    <row r="22" spans="1:41" ht="15" customHeight="1">
      <c r="A22" s="1">
        <v>19</v>
      </c>
      <c r="B22" s="21" t="s">
        <v>36</v>
      </c>
      <c r="C22" s="21"/>
      <c r="D22" s="21" t="s">
        <v>37</v>
      </c>
      <c r="E22" s="21"/>
      <c r="F22" s="21"/>
      <c r="G22" s="21"/>
      <c r="H22">
        <v>1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Q22">
        <v>0</v>
      </c>
      <c r="R22">
        <v>0</v>
      </c>
      <c r="S22">
        <v>1</v>
      </c>
      <c r="T22">
        <v>1</v>
      </c>
      <c r="U22" s="9">
        <v>1</v>
      </c>
      <c r="V22" s="9">
        <v>4</v>
      </c>
      <c r="W22">
        <v>4</v>
      </c>
      <c r="X22" s="10">
        <f t="shared" si="2"/>
        <v>9</v>
      </c>
      <c r="Y22" s="5">
        <f t="shared" si="0"/>
        <v>17</v>
      </c>
      <c r="Z22" s="12">
        <v>3.5</v>
      </c>
      <c r="AA22" s="12">
        <v>2</v>
      </c>
      <c r="AB22" s="12">
        <v>4</v>
      </c>
      <c r="AC22" s="12">
        <v>4</v>
      </c>
      <c r="AD22" s="12">
        <v>3.5</v>
      </c>
      <c r="AE22" s="5">
        <f t="shared" si="4"/>
        <v>11</v>
      </c>
      <c r="AF22">
        <v>1.5</v>
      </c>
      <c r="AG22">
        <v>3</v>
      </c>
      <c r="AH22">
        <v>4</v>
      </c>
      <c r="AI22">
        <v>0</v>
      </c>
      <c r="AJ22">
        <v>2.5</v>
      </c>
      <c r="AK22" t="s">
        <v>207</v>
      </c>
      <c r="AL22">
        <f>6.5+2+7+4+2+4+3</f>
        <v>28.5</v>
      </c>
      <c r="AM22">
        <f>4.5+0+2+1+0+5</f>
        <v>12.5</v>
      </c>
      <c r="AN22" s="8">
        <f t="shared" si="3"/>
        <v>78</v>
      </c>
      <c r="AO22" s="11" t="s">
        <v>219</v>
      </c>
    </row>
    <row r="23" spans="1:41" ht="15" customHeight="1">
      <c r="A23" s="1">
        <v>20</v>
      </c>
      <c r="B23" s="21" t="s">
        <v>38</v>
      </c>
      <c r="C23" s="21"/>
      <c r="D23" s="21" t="s">
        <v>39</v>
      </c>
      <c r="E23" s="21"/>
      <c r="F23" s="21"/>
      <c r="G23" s="21"/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1</v>
      </c>
      <c r="U23" s="9">
        <v>1</v>
      </c>
      <c r="V23" s="9">
        <v>4</v>
      </c>
      <c r="W23">
        <v>3</v>
      </c>
      <c r="X23" s="10">
        <f t="shared" si="2"/>
        <v>8</v>
      </c>
      <c r="Y23" s="5">
        <f t="shared" si="0"/>
        <v>16.5</v>
      </c>
      <c r="Z23" s="12">
        <v>3.5</v>
      </c>
      <c r="AA23" s="12">
        <v>3</v>
      </c>
      <c r="AB23" s="12">
        <v>3</v>
      </c>
      <c r="AC23" s="12">
        <v>3</v>
      </c>
      <c r="AD23" s="12">
        <v>4</v>
      </c>
      <c r="AE23" s="5">
        <f t="shared" si="4"/>
        <v>16.5</v>
      </c>
      <c r="AF23" s="7">
        <v>3</v>
      </c>
      <c r="AG23" s="7">
        <v>4</v>
      </c>
      <c r="AH23" s="7">
        <v>3.5</v>
      </c>
      <c r="AI23" s="7">
        <v>4</v>
      </c>
      <c r="AJ23" s="7">
        <v>2</v>
      </c>
      <c r="AK23" t="s">
        <v>207</v>
      </c>
      <c r="AL23">
        <f>4.5+2+4+2+1+4+3</f>
        <v>20.5</v>
      </c>
      <c r="AM23">
        <f>5+2.5+2.5+4.5+2+5</f>
        <v>21.5</v>
      </c>
      <c r="AN23" s="8">
        <f t="shared" si="3"/>
        <v>83</v>
      </c>
      <c r="AO23" s="11" t="s">
        <v>222</v>
      </c>
    </row>
    <row r="24" spans="1:41" ht="15" customHeight="1">
      <c r="A24" s="1">
        <v>21</v>
      </c>
      <c r="B24" s="21" t="s">
        <v>40</v>
      </c>
      <c r="C24" s="21"/>
      <c r="D24" s="21" t="s">
        <v>41</v>
      </c>
      <c r="E24" s="21"/>
      <c r="F24" s="21"/>
      <c r="G24" s="21"/>
      <c r="I24">
        <v>0</v>
      </c>
      <c r="K24">
        <v>0</v>
      </c>
      <c r="M24">
        <v>0</v>
      </c>
      <c r="R24">
        <v>0</v>
      </c>
      <c r="T24">
        <v>0</v>
      </c>
      <c r="U24" s="9">
        <v>0</v>
      </c>
      <c r="V24" s="9"/>
      <c r="W24">
        <v>0</v>
      </c>
      <c r="X24" s="10">
        <f t="shared" si="2"/>
        <v>0</v>
      </c>
      <c r="Y24" s="5">
        <f>SUM(Z24:AD24)</f>
        <v>8</v>
      </c>
      <c r="Z24">
        <v>1</v>
      </c>
      <c r="AA24">
        <v>0</v>
      </c>
      <c r="AB24">
        <v>0</v>
      </c>
      <c r="AC24">
        <v>3</v>
      </c>
      <c r="AD24">
        <v>4</v>
      </c>
      <c r="AE24" s="5">
        <f t="shared" si="4"/>
        <v>0</v>
      </c>
      <c r="AK24" t="s">
        <v>210</v>
      </c>
      <c r="AN24" s="8">
        <f t="shared" si="3"/>
        <v>8</v>
      </c>
      <c r="AO24" s="11" t="s">
        <v>226</v>
      </c>
    </row>
    <row r="25" spans="1:41" ht="15" customHeight="1">
      <c r="A25" s="1">
        <v>22</v>
      </c>
      <c r="B25" s="21" t="s">
        <v>42</v>
      </c>
      <c r="C25" s="21"/>
      <c r="D25" s="21" t="s">
        <v>43</v>
      </c>
      <c r="E25" s="21"/>
      <c r="F25" s="21"/>
      <c r="G25" s="21"/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1</v>
      </c>
      <c r="O25">
        <v>1</v>
      </c>
      <c r="P25">
        <v>0</v>
      </c>
      <c r="Q25">
        <v>0</v>
      </c>
      <c r="R25">
        <v>1</v>
      </c>
      <c r="S25">
        <v>1</v>
      </c>
      <c r="T25">
        <v>0</v>
      </c>
      <c r="U25" s="9"/>
      <c r="V25" s="9"/>
      <c r="W25">
        <v>9</v>
      </c>
      <c r="X25" s="10">
        <f t="shared" si="2"/>
        <v>9</v>
      </c>
      <c r="Y25" s="5">
        <f aca="true" t="shared" si="5" ref="Y25:Y89">SUM(Z25:AD25)</f>
        <v>13.5</v>
      </c>
      <c r="Z25">
        <v>3</v>
      </c>
      <c r="AA25">
        <v>0.5</v>
      </c>
      <c r="AB25">
        <v>2.5</v>
      </c>
      <c r="AC25">
        <v>2.5</v>
      </c>
      <c r="AD25">
        <v>5</v>
      </c>
      <c r="AE25" s="5">
        <f t="shared" si="4"/>
        <v>13.5</v>
      </c>
      <c r="AF25">
        <v>2</v>
      </c>
      <c r="AG25">
        <v>2</v>
      </c>
      <c r="AH25">
        <v>4</v>
      </c>
      <c r="AI25">
        <v>4</v>
      </c>
      <c r="AJ25">
        <v>1.5</v>
      </c>
      <c r="AK25" t="s">
        <v>207</v>
      </c>
      <c r="AL25">
        <f>1+2+3+1+0+4+2</f>
        <v>13</v>
      </c>
      <c r="AM25">
        <f>5+4.5+0+4.5+0+5</f>
        <v>19</v>
      </c>
      <c r="AN25" s="8">
        <f t="shared" si="3"/>
        <v>68</v>
      </c>
      <c r="AO25" s="11" t="s">
        <v>221</v>
      </c>
    </row>
    <row r="26" spans="1:41" ht="15" customHeight="1">
      <c r="A26" s="1">
        <v>23</v>
      </c>
      <c r="B26" s="21" t="s">
        <v>44</v>
      </c>
      <c r="C26" s="21"/>
      <c r="D26" s="21" t="s">
        <v>45</v>
      </c>
      <c r="E26" s="21"/>
      <c r="F26" s="21"/>
      <c r="G26" s="21"/>
      <c r="H26">
        <v>1</v>
      </c>
      <c r="I26">
        <v>0</v>
      </c>
      <c r="K26">
        <v>0</v>
      </c>
      <c r="L26">
        <v>0</v>
      </c>
      <c r="M26">
        <v>1</v>
      </c>
      <c r="N26">
        <v>1</v>
      </c>
      <c r="P26">
        <v>0</v>
      </c>
      <c r="S26">
        <v>1</v>
      </c>
      <c r="U26" s="9"/>
      <c r="V26" s="9">
        <v>4</v>
      </c>
      <c r="W26">
        <v>4</v>
      </c>
      <c r="X26" s="10">
        <f t="shared" si="2"/>
        <v>8</v>
      </c>
      <c r="Y26" s="5">
        <f t="shared" si="5"/>
        <v>15</v>
      </c>
      <c r="Z26">
        <v>3</v>
      </c>
      <c r="AA26">
        <v>2</v>
      </c>
      <c r="AB26">
        <v>2.5</v>
      </c>
      <c r="AC26">
        <v>1.5</v>
      </c>
      <c r="AD26">
        <v>6</v>
      </c>
      <c r="AE26" s="5">
        <f t="shared" si="4"/>
        <v>15</v>
      </c>
      <c r="AF26">
        <v>4</v>
      </c>
      <c r="AG26">
        <v>2.5</v>
      </c>
      <c r="AH26">
        <v>3</v>
      </c>
      <c r="AI26">
        <v>3.5</v>
      </c>
      <c r="AJ26">
        <v>2</v>
      </c>
      <c r="AK26" t="s">
        <v>207</v>
      </c>
      <c r="AL26">
        <f>6+2+6+4+2+3+3</f>
        <v>26</v>
      </c>
      <c r="AM26">
        <f>3+4.5+2+5+4+5</f>
        <v>23.5</v>
      </c>
      <c r="AN26" s="8">
        <f t="shared" si="3"/>
        <v>87.5</v>
      </c>
      <c r="AO26" s="11" t="s">
        <v>222</v>
      </c>
    </row>
    <row r="27" spans="1:41" ht="15" customHeight="1">
      <c r="A27" s="1">
        <v>24</v>
      </c>
      <c r="B27" s="21" t="s">
        <v>46</v>
      </c>
      <c r="C27" s="21"/>
      <c r="D27" s="21" t="s">
        <v>47</v>
      </c>
      <c r="E27" s="21"/>
      <c r="F27" s="21"/>
      <c r="G27" s="21"/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 s="9">
        <v>2</v>
      </c>
      <c r="V27" s="9">
        <v>4</v>
      </c>
      <c r="W27">
        <v>2</v>
      </c>
      <c r="X27" s="10">
        <f t="shared" si="2"/>
        <v>8</v>
      </c>
      <c r="Y27" s="5">
        <f t="shared" si="5"/>
        <v>10.5</v>
      </c>
      <c r="Z27">
        <v>2</v>
      </c>
      <c r="AA27">
        <v>0</v>
      </c>
      <c r="AB27">
        <v>3</v>
      </c>
      <c r="AC27">
        <v>1.5</v>
      </c>
      <c r="AD27">
        <v>4</v>
      </c>
      <c r="AE27" s="5">
        <f t="shared" si="4"/>
        <v>13.5</v>
      </c>
      <c r="AF27">
        <v>3.5</v>
      </c>
      <c r="AG27">
        <v>3.5</v>
      </c>
      <c r="AH27">
        <v>4</v>
      </c>
      <c r="AI27">
        <v>0.5</v>
      </c>
      <c r="AJ27">
        <v>2</v>
      </c>
      <c r="AK27" t="s">
        <v>207</v>
      </c>
      <c r="AL27">
        <f>5+2+5+2+1+2+2</f>
        <v>19</v>
      </c>
      <c r="AM27">
        <f>5+2.5+0+0+0+5</f>
        <v>12.5</v>
      </c>
      <c r="AN27" s="8">
        <f t="shared" si="3"/>
        <v>63.5</v>
      </c>
      <c r="AO27" s="11" t="s">
        <v>221</v>
      </c>
    </row>
    <row r="28" spans="1:41" ht="15" customHeight="1">
      <c r="A28" s="1">
        <v>25</v>
      </c>
      <c r="B28" s="21" t="s">
        <v>48</v>
      </c>
      <c r="C28" s="21"/>
      <c r="D28" s="21" t="s">
        <v>49</v>
      </c>
      <c r="E28" s="21"/>
      <c r="F28" s="21"/>
      <c r="G28" s="21"/>
      <c r="I28">
        <v>1</v>
      </c>
      <c r="J28">
        <v>1</v>
      </c>
      <c r="K28">
        <v>1</v>
      </c>
      <c r="L28">
        <v>0</v>
      </c>
      <c r="M28">
        <v>1</v>
      </c>
      <c r="N28">
        <v>0</v>
      </c>
      <c r="O28">
        <v>1</v>
      </c>
      <c r="P28">
        <v>1</v>
      </c>
      <c r="R28">
        <v>1</v>
      </c>
      <c r="T28">
        <v>1</v>
      </c>
      <c r="U28" s="9">
        <v>2</v>
      </c>
      <c r="V28" s="9">
        <v>0</v>
      </c>
      <c r="W28">
        <v>8</v>
      </c>
      <c r="X28" s="10">
        <f t="shared" si="2"/>
        <v>10</v>
      </c>
      <c r="Y28" s="5">
        <f t="shared" si="5"/>
        <v>10.5</v>
      </c>
      <c r="Z28">
        <v>1.5</v>
      </c>
      <c r="AA28">
        <v>0.5</v>
      </c>
      <c r="AB28">
        <v>0.5</v>
      </c>
      <c r="AC28">
        <v>2</v>
      </c>
      <c r="AD28">
        <v>6</v>
      </c>
      <c r="AE28" s="5">
        <f t="shared" si="4"/>
        <v>10.5</v>
      </c>
      <c r="AF28">
        <v>2</v>
      </c>
      <c r="AG28">
        <v>3.5</v>
      </c>
      <c r="AH28">
        <v>1</v>
      </c>
      <c r="AI28">
        <v>3</v>
      </c>
      <c r="AJ28">
        <v>1</v>
      </c>
      <c r="AK28" t="s">
        <v>207</v>
      </c>
      <c r="AL28">
        <f>7+2+5+4+2+3+3</f>
        <v>26</v>
      </c>
      <c r="AM28">
        <f>5+0+3+3+0+4.5</f>
        <v>15.5</v>
      </c>
      <c r="AN28" s="8">
        <f t="shared" si="3"/>
        <v>72.5</v>
      </c>
      <c r="AO28" s="11" t="s">
        <v>219</v>
      </c>
    </row>
    <row r="29" spans="1:42" ht="15" customHeight="1">
      <c r="A29" s="1">
        <v>26</v>
      </c>
      <c r="B29" s="21" t="s">
        <v>50</v>
      </c>
      <c r="C29" s="21"/>
      <c r="D29" s="21" t="s">
        <v>51</v>
      </c>
      <c r="E29" s="21"/>
      <c r="F29" s="21"/>
      <c r="G29" s="21"/>
      <c r="I29">
        <v>0</v>
      </c>
      <c r="J29">
        <v>1</v>
      </c>
      <c r="M29">
        <v>1</v>
      </c>
      <c r="O29">
        <v>1</v>
      </c>
      <c r="P29">
        <v>0</v>
      </c>
      <c r="T29">
        <v>1</v>
      </c>
      <c r="U29" s="9"/>
      <c r="V29" s="9"/>
      <c r="W29">
        <v>4</v>
      </c>
      <c r="X29" s="10">
        <f t="shared" si="2"/>
        <v>4</v>
      </c>
      <c r="Y29" s="5">
        <f t="shared" si="5"/>
        <v>12</v>
      </c>
      <c r="Z29">
        <v>0</v>
      </c>
      <c r="AA29">
        <v>1</v>
      </c>
      <c r="AB29">
        <v>3</v>
      </c>
      <c r="AC29">
        <v>4</v>
      </c>
      <c r="AD29">
        <v>4</v>
      </c>
      <c r="AE29" s="5">
        <f t="shared" si="4"/>
        <v>11.5</v>
      </c>
      <c r="AF29">
        <v>2.5</v>
      </c>
      <c r="AG29">
        <v>2</v>
      </c>
      <c r="AH29">
        <v>3.5</v>
      </c>
      <c r="AI29">
        <v>3.5</v>
      </c>
      <c r="AJ29">
        <v>0</v>
      </c>
      <c r="AK29" t="s">
        <v>207</v>
      </c>
      <c r="AL29">
        <f>1+1+0+0+0+3+4</f>
        <v>9</v>
      </c>
      <c r="AM29">
        <f>1+1+2+2+0+1</f>
        <v>7</v>
      </c>
      <c r="AN29" s="8">
        <f t="shared" si="3"/>
        <v>43.5</v>
      </c>
      <c r="AO29" s="11" t="s">
        <v>225</v>
      </c>
      <c r="AP29" s="18" t="s">
        <v>223</v>
      </c>
    </row>
    <row r="30" spans="1:42" ht="15" customHeight="1">
      <c r="A30" s="2">
        <v>27</v>
      </c>
      <c r="B30" s="2" t="s">
        <v>188</v>
      </c>
      <c r="C30" s="2"/>
      <c r="D30" s="24" t="s">
        <v>187</v>
      </c>
      <c r="E30" s="24"/>
      <c r="F30" s="24"/>
      <c r="G30" s="2"/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9"/>
      <c r="V30" s="9"/>
      <c r="W30">
        <v>0</v>
      </c>
      <c r="X30" s="10">
        <f t="shared" si="2"/>
        <v>0</v>
      </c>
      <c r="Y30" s="5">
        <f t="shared" si="5"/>
        <v>8.5</v>
      </c>
      <c r="Z30">
        <v>2</v>
      </c>
      <c r="AA30">
        <v>1</v>
      </c>
      <c r="AB30">
        <v>0</v>
      </c>
      <c r="AC30">
        <v>2</v>
      </c>
      <c r="AD30">
        <v>3.5</v>
      </c>
      <c r="AE30" s="5">
        <f t="shared" si="4"/>
        <v>13.5</v>
      </c>
      <c r="AF30" s="13">
        <v>0</v>
      </c>
      <c r="AG30" s="13">
        <v>4</v>
      </c>
      <c r="AH30" s="13">
        <v>3.5</v>
      </c>
      <c r="AI30" s="13">
        <v>4</v>
      </c>
      <c r="AJ30" s="13">
        <v>2</v>
      </c>
      <c r="AK30" t="s">
        <v>207</v>
      </c>
      <c r="AL30">
        <f>4+0+0+0+2+1+2</f>
        <v>9</v>
      </c>
      <c r="AM30">
        <f>5+0+4.5+4+0+0</f>
        <v>13.5</v>
      </c>
      <c r="AN30" s="8">
        <f t="shared" si="3"/>
        <v>44.5</v>
      </c>
      <c r="AO30" s="11" t="s">
        <v>225</v>
      </c>
      <c r="AP30" s="18" t="s">
        <v>219</v>
      </c>
    </row>
    <row r="31" spans="1:41" ht="15" customHeight="1">
      <c r="A31" s="2">
        <v>28</v>
      </c>
      <c r="B31" s="21" t="s">
        <v>52</v>
      </c>
      <c r="C31" s="21"/>
      <c r="D31" s="21" t="s">
        <v>53</v>
      </c>
      <c r="E31" s="21"/>
      <c r="F31" s="21"/>
      <c r="G31" s="21"/>
      <c r="H31">
        <v>1</v>
      </c>
      <c r="J31">
        <v>1</v>
      </c>
      <c r="K31">
        <v>1</v>
      </c>
      <c r="L31">
        <v>1</v>
      </c>
      <c r="M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0</v>
      </c>
      <c r="U31" s="9">
        <v>1</v>
      </c>
      <c r="V31" s="9">
        <v>1</v>
      </c>
      <c r="W31">
        <v>10</v>
      </c>
      <c r="X31" s="10">
        <f t="shared" si="2"/>
        <v>12</v>
      </c>
      <c r="Y31" s="5">
        <f t="shared" si="5"/>
        <v>20</v>
      </c>
      <c r="Z31" s="12">
        <v>4</v>
      </c>
      <c r="AA31" s="12">
        <v>4</v>
      </c>
      <c r="AB31" s="12">
        <v>4</v>
      </c>
      <c r="AC31" s="12">
        <v>4</v>
      </c>
      <c r="AD31" s="12">
        <v>4</v>
      </c>
      <c r="AE31" s="5">
        <f t="shared" si="4"/>
        <v>19.5</v>
      </c>
      <c r="AF31" s="7">
        <v>4</v>
      </c>
      <c r="AG31" s="7">
        <v>4</v>
      </c>
      <c r="AH31" s="7">
        <v>4</v>
      </c>
      <c r="AI31" s="7">
        <v>4</v>
      </c>
      <c r="AJ31" s="7">
        <v>3.5</v>
      </c>
      <c r="AK31" t="s">
        <v>207</v>
      </c>
      <c r="AL31">
        <f>4+2+6+4+2+3+3</f>
        <v>24</v>
      </c>
      <c r="AM31">
        <f>5+4.5+5+5+3+5</f>
        <v>27.5</v>
      </c>
      <c r="AN31" s="8">
        <f t="shared" si="3"/>
        <v>103</v>
      </c>
      <c r="AO31" s="11" t="s">
        <v>218</v>
      </c>
    </row>
    <row r="32" spans="1:41" ht="15" customHeight="1">
      <c r="A32" s="2">
        <v>29</v>
      </c>
      <c r="B32" s="21" t="s">
        <v>54</v>
      </c>
      <c r="C32" s="21"/>
      <c r="D32" s="21" t="s">
        <v>55</v>
      </c>
      <c r="E32" s="21"/>
      <c r="F32" s="21"/>
      <c r="G32" s="21"/>
      <c r="H32">
        <v>1</v>
      </c>
      <c r="I32">
        <v>1</v>
      </c>
      <c r="J32">
        <v>1</v>
      </c>
      <c r="K32">
        <v>1</v>
      </c>
      <c r="L32">
        <v>0</v>
      </c>
      <c r="N32">
        <v>1</v>
      </c>
      <c r="P32">
        <v>1</v>
      </c>
      <c r="Q32">
        <v>1</v>
      </c>
      <c r="R32">
        <v>1</v>
      </c>
      <c r="S32">
        <v>1</v>
      </c>
      <c r="T32">
        <v>1</v>
      </c>
      <c r="U32" s="9"/>
      <c r="V32" s="9"/>
      <c r="W32">
        <v>10</v>
      </c>
      <c r="X32" s="10">
        <f t="shared" si="2"/>
        <v>10</v>
      </c>
      <c r="Y32" s="5">
        <f t="shared" si="5"/>
        <v>17</v>
      </c>
      <c r="Z32">
        <v>2</v>
      </c>
      <c r="AA32">
        <v>2.5</v>
      </c>
      <c r="AB32">
        <v>2.5</v>
      </c>
      <c r="AC32">
        <v>2.5</v>
      </c>
      <c r="AD32">
        <v>7.5</v>
      </c>
      <c r="AE32" s="5">
        <f t="shared" si="4"/>
        <v>18</v>
      </c>
      <c r="AF32" s="7">
        <v>4</v>
      </c>
      <c r="AG32" s="7">
        <v>4</v>
      </c>
      <c r="AH32" s="7">
        <v>4</v>
      </c>
      <c r="AI32" s="7">
        <v>3</v>
      </c>
      <c r="AJ32" s="7">
        <v>3</v>
      </c>
      <c r="AK32" t="s">
        <v>207</v>
      </c>
      <c r="AL32">
        <v>21</v>
      </c>
      <c r="AM32">
        <v>13</v>
      </c>
      <c r="AN32" s="8">
        <f t="shared" si="3"/>
        <v>79</v>
      </c>
      <c r="AO32" s="11" t="s">
        <v>219</v>
      </c>
    </row>
    <row r="33" spans="1:41" ht="15" customHeight="1">
      <c r="A33" s="2">
        <v>30</v>
      </c>
      <c r="B33" s="21" t="s">
        <v>56</v>
      </c>
      <c r="C33" s="21"/>
      <c r="D33" s="21" t="s">
        <v>57</v>
      </c>
      <c r="E33" s="21"/>
      <c r="F33" s="21"/>
      <c r="G33" s="21"/>
      <c r="U33" s="9"/>
      <c r="V33" s="9"/>
      <c r="W33">
        <v>0</v>
      </c>
      <c r="X33" s="10">
        <f t="shared" si="2"/>
        <v>0</v>
      </c>
      <c r="Y33" s="5">
        <f t="shared" si="5"/>
        <v>0</v>
      </c>
      <c r="AE33" s="5">
        <f t="shared" si="4"/>
        <v>0</v>
      </c>
      <c r="AN33" s="8">
        <f t="shared" si="3"/>
        <v>0</v>
      </c>
      <c r="AO33" s="11" t="s">
        <v>226</v>
      </c>
    </row>
    <row r="34" spans="1:41" ht="15" customHeight="1">
      <c r="A34" s="2">
        <v>31</v>
      </c>
      <c r="B34" s="21" t="s">
        <v>58</v>
      </c>
      <c r="C34" s="21"/>
      <c r="D34" s="21" t="s">
        <v>59</v>
      </c>
      <c r="E34" s="21"/>
      <c r="F34" s="21"/>
      <c r="G34" s="21"/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T34">
        <v>0</v>
      </c>
      <c r="U34" s="9"/>
      <c r="V34" s="9"/>
      <c r="W34">
        <v>0</v>
      </c>
      <c r="X34" s="10">
        <f t="shared" si="2"/>
        <v>0</v>
      </c>
      <c r="Y34" s="5">
        <f t="shared" si="5"/>
        <v>11</v>
      </c>
      <c r="Z34">
        <v>2</v>
      </c>
      <c r="AA34">
        <v>2</v>
      </c>
      <c r="AB34">
        <v>0</v>
      </c>
      <c r="AC34">
        <v>3</v>
      </c>
      <c r="AD34">
        <v>4</v>
      </c>
      <c r="AE34" s="5">
        <f t="shared" si="4"/>
        <v>12.5</v>
      </c>
      <c r="AF34">
        <v>4</v>
      </c>
      <c r="AG34">
        <v>4</v>
      </c>
      <c r="AH34">
        <v>1.5</v>
      </c>
      <c r="AI34">
        <v>3</v>
      </c>
      <c r="AJ34">
        <v>0</v>
      </c>
      <c r="AK34" t="s">
        <v>207</v>
      </c>
      <c r="AN34" s="8">
        <f t="shared" si="3"/>
        <v>23.5</v>
      </c>
      <c r="AO34" s="11" t="s">
        <v>226</v>
      </c>
    </row>
    <row r="35" spans="1:41" ht="15" customHeight="1">
      <c r="A35" s="2">
        <v>32</v>
      </c>
      <c r="B35" s="21" t="s">
        <v>60</v>
      </c>
      <c r="C35" s="21"/>
      <c r="D35" s="21" t="s">
        <v>61</v>
      </c>
      <c r="E35" s="21"/>
      <c r="F35" s="21"/>
      <c r="G35" s="21"/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0</v>
      </c>
      <c r="T35">
        <v>0</v>
      </c>
      <c r="U35" s="9">
        <v>0</v>
      </c>
      <c r="V35" s="9">
        <v>4</v>
      </c>
      <c r="W35">
        <v>3</v>
      </c>
      <c r="X35" s="10">
        <f t="shared" si="2"/>
        <v>7</v>
      </c>
      <c r="Y35" s="5">
        <f t="shared" si="5"/>
        <v>13</v>
      </c>
      <c r="Z35" s="12">
        <v>4</v>
      </c>
      <c r="AA35" s="12">
        <v>0</v>
      </c>
      <c r="AB35" s="12">
        <v>3.5</v>
      </c>
      <c r="AC35" s="12">
        <v>3.5</v>
      </c>
      <c r="AD35" s="12">
        <v>2</v>
      </c>
      <c r="AE35" s="5">
        <f t="shared" si="4"/>
        <v>12.5</v>
      </c>
      <c r="AF35" s="7">
        <v>0.5</v>
      </c>
      <c r="AG35" s="7">
        <v>3</v>
      </c>
      <c r="AH35" s="7">
        <v>3</v>
      </c>
      <c r="AI35" s="7">
        <v>3.5</v>
      </c>
      <c r="AJ35" s="7">
        <v>2.5</v>
      </c>
      <c r="AK35" t="s">
        <v>207</v>
      </c>
      <c r="AL35">
        <f>5+2+7+4+1+2+3</f>
        <v>24</v>
      </c>
      <c r="AM35">
        <f>5+5+5+1+0+5</f>
        <v>21</v>
      </c>
      <c r="AN35" s="8">
        <f t="shared" si="3"/>
        <v>77.5</v>
      </c>
      <c r="AO35" s="11" t="s">
        <v>219</v>
      </c>
    </row>
    <row r="36" spans="1:41" ht="15" customHeight="1">
      <c r="A36" s="2">
        <v>33</v>
      </c>
      <c r="B36" s="21" t="s">
        <v>62</v>
      </c>
      <c r="C36" s="21"/>
      <c r="D36" s="21" t="s">
        <v>63</v>
      </c>
      <c r="E36" s="21"/>
      <c r="F36" s="21"/>
      <c r="G36" s="21"/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0</v>
      </c>
      <c r="S36">
        <v>0</v>
      </c>
      <c r="U36" s="9">
        <v>1</v>
      </c>
      <c r="V36" s="9">
        <v>1</v>
      </c>
      <c r="W36">
        <v>10</v>
      </c>
      <c r="X36" s="10">
        <f t="shared" si="2"/>
        <v>12</v>
      </c>
      <c r="Y36" s="5">
        <f t="shared" si="5"/>
        <v>16.5</v>
      </c>
      <c r="Z36">
        <v>2.5</v>
      </c>
      <c r="AA36">
        <v>2</v>
      </c>
      <c r="AB36">
        <v>3</v>
      </c>
      <c r="AC36">
        <v>2.5</v>
      </c>
      <c r="AD36">
        <v>6.5</v>
      </c>
      <c r="AE36" s="5">
        <f t="shared" si="4"/>
        <v>18</v>
      </c>
      <c r="AF36" s="7">
        <v>3</v>
      </c>
      <c r="AG36" s="7">
        <v>4</v>
      </c>
      <c r="AH36" s="7">
        <v>3.5</v>
      </c>
      <c r="AI36" s="7">
        <v>3.5</v>
      </c>
      <c r="AJ36" s="7">
        <v>4</v>
      </c>
      <c r="AK36" t="s">
        <v>207</v>
      </c>
      <c r="AL36">
        <f>2+0+3+4+1+0+0</f>
        <v>10</v>
      </c>
      <c r="AM36">
        <f>5+5+0+2+4+5</f>
        <v>21</v>
      </c>
      <c r="AN36" s="8">
        <f t="shared" si="3"/>
        <v>77.5</v>
      </c>
      <c r="AO36" s="11" t="s">
        <v>219</v>
      </c>
    </row>
    <row r="37" spans="1:41" ht="15" customHeight="1">
      <c r="A37" s="2">
        <v>34</v>
      </c>
      <c r="B37" s="21" t="s">
        <v>64</v>
      </c>
      <c r="C37" s="21"/>
      <c r="D37" s="21" t="s">
        <v>65</v>
      </c>
      <c r="E37" s="21"/>
      <c r="F37" s="21"/>
      <c r="G37" s="21"/>
      <c r="I37">
        <v>1</v>
      </c>
      <c r="J37">
        <v>1</v>
      </c>
      <c r="K37">
        <v>1</v>
      </c>
      <c r="L37">
        <v>1</v>
      </c>
      <c r="N37">
        <v>0</v>
      </c>
      <c r="O37">
        <v>1</v>
      </c>
      <c r="Q37">
        <v>0</v>
      </c>
      <c r="R37">
        <v>1</v>
      </c>
      <c r="S37">
        <v>1</v>
      </c>
      <c r="T37">
        <v>0</v>
      </c>
      <c r="U37" s="9"/>
      <c r="V37" s="9"/>
      <c r="W37">
        <v>7</v>
      </c>
      <c r="X37" s="10">
        <f t="shared" si="2"/>
        <v>7</v>
      </c>
      <c r="Y37" s="5">
        <f t="shared" si="5"/>
        <v>11.5</v>
      </c>
      <c r="Z37">
        <v>2</v>
      </c>
      <c r="AA37">
        <v>0.5</v>
      </c>
      <c r="AB37">
        <v>2.5</v>
      </c>
      <c r="AC37">
        <v>2</v>
      </c>
      <c r="AD37">
        <v>4.5</v>
      </c>
      <c r="AE37" s="5">
        <f t="shared" si="4"/>
        <v>16</v>
      </c>
      <c r="AF37" s="7">
        <v>2</v>
      </c>
      <c r="AG37" s="7">
        <v>3</v>
      </c>
      <c r="AH37" s="7">
        <v>4</v>
      </c>
      <c r="AI37" s="7">
        <v>3.5</v>
      </c>
      <c r="AJ37" s="7">
        <v>3.5</v>
      </c>
      <c r="AK37" t="s">
        <v>207</v>
      </c>
      <c r="AL37">
        <f>6+1+3+2+2+0+2</f>
        <v>16</v>
      </c>
      <c r="AM37">
        <f>5+3+0+3+1+5</f>
        <v>17</v>
      </c>
      <c r="AN37" s="8">
        <f t="shared" si="3"/>
        <v>67.5</v>
      </c>
      <c r="AO37" s="11" t="s">
        <v>221</v>
      </c>
    </row>
    <row r="38" spans="1:41" ht="15" customHeight="1">
      <c r="A38" s="2">
        <v>35</v>
      </c>
      <c r="B38" s="21" t="s">
        <v>66</v>
      </c>
      <c r="C38" s="21"/>
      <c r="D38" s="21" t="s">
        <v>67</v>
      </c>
      <c r="E38" s="21"/>
      <c r="F38" s="21"/>
      <c r="G38" s="21"/>
      <c r="H38">
        <v>0</v>
      </c>
      <c r="I38">
        <v>0</v>
      </c>
      <c r="K38">
        <v>0</v>
      </c>
      <c r="L38">
        <v>0</v>
      </c>
      <c r="M38">
        <v>0</v>
      </c>
      <c r="N38">
        <v>0</v>
      </c>
      <c r="O38">
        <v>0</v>
      </c>
      <c r="Q38">
        <v>0</v>
      </c>
      <c r="R38">
        <v>0</v>
      </c>
      <c r="S38">
        <v>0</v>
      </c>
      <c r="T38">
        <v>0</v>
      </c>
      <c r="U38" s="9"/>
      <c r="V38" s="9"/>
      <c r="W38">
        <v>0</v>
      </c>
      <c r="X38" s="10">
        <f t="shared" si="2"/>
        <v>0</v>
      </c>
      <c r="Y38" s="5">
        <f t="shared" si="5"/>
        <v>16</v>
      </c>
      <c r="Z38">
        <v>2</v>
      </c>
      <c r="AA38">
        <v>3</v>
      </c>
      <c r="AB38">
        <v>3</v>
      </c>
      <c r="AC38">
        <v>3</v>
      </c>
      <c r="AD38">
        <v>5</v>
      </c>
      <c r="AE38" s="5">
        <f t="shared" si="4"/>
        <v>16.5</v>
      </c>
      <c r="AF38" s="7">
        <v>4</v>
      </c>
      <c r="AG38" s="7">
        <v>2.5</v>
      </c>
      <c r="AH38" s="7">
        <v>4</v>
      </c>
      <c r="AI38" s="7">
        <v>3.5</v>
      </c>
      <c r="AJ38" s="7">
        <v>2.5</v>
      </c>
      <c r="AK38" t="s">
        <v>207</v>
      </c>
      <c r="AL38">
        <f>5+2+1+2+1+2+1</f>
        <v>14</v>
      </c>
      <c r="AM38">
        <f>5+3+3+5+1+0</f>
        <v>17</v>
      </c>
      <c r="AN38" s="8">
        <f t="shared" si="3"/>
        <v>63.5</v>
      </c>
      <c r="AO38" s="11" t="s">
        <v>221</v>
      </c>
    </row>
    <row r="39" spans="1:41" ht="15" customHeight="1">
      <c r="A39" s="2">
        <v>36</v>
      </c>
      <c r="B39" s="21" t="s">
        <v>68</v>
      </c>
      <c r="C39" s="21"/>
      <c r="D39" s="21" t="s">
        <v>69</v>
      </c>
      <c r="E39" s="21"/>
      <c r="F39" s="21"/>
      <c r="G39" s="21"/>
      <c r="H39">
        <v>1</v>
      </c>
      <c r="I39">
        <v>1</v>
      </c>
      <c r="J39">
        <v>1</v>
      </c>
      <c r="K39">
        <v>1</v>
      </c>
      <c r="L39">
        <v>0</v>
      </c>
      <c r="M39">
        <v>1</v>
      </c>
      <c r="N39">
        <v>1</v>
      </c>
      <c r="O39">
        <v>1</v>
      </c>
      <c r="R39">
        <v>1</v>
      </c>
      <c r="S39">
        <v>1</v>
      </c>
      <c r="T39">
        <v>1</v>
      </c>
      <c r="U39" s="9">
        <v>1</v>
      </c>
      <c r="V39" s="9"/>
      <c r="W39">
        <v>10</v>
      </c>
      <c r="X39" s="10">
        <f t="shared" si="2"/>
        <v>11</v>
      </c>
      <c r="Y39" s="5">
        <f t="shared" si="5"/>
        <v>12</v>
      </c>
      <c r="Z39" s="12">
        <v>3.5</v>
      </c>
      <c r="AA39" s="12">
        <v>0</v>
      </c>
      <c r="AB39" s="12">
        <v>1.5</v>
      </c>
      <c r="AC39" s="12">
        <v>4</v>
      </c>
      <c r="AD39" s="12">
        <v>3</v>
      </c>
      <c r="AE39" s="5">
        <f t="shared" si="4"/>
        <v>17</v>
      </c>
      <c r="AF39">
        <v>4</v>
      </c>
      <c r="AG39">
        <v>4</v>
      </c>
      <c r="AH39">
        <v>4</v>
      </c>
      <c r="AI39">
        <v>3</v>
      </c>
      <c r="AJ39">
        <v>2</v>
      </c>
      <c r="AK39" t="s">
        <v>207</v>
      </c>
      <c r="AL39">
        <f>7+1+0+1+0+0+0</f>
        <v>9</v>
      </c>
      <c r="AM39">
        <f>0+3+1+1+0+1</f>
        <v>6</v>
      </c>
      <c r="AN39" s="8">
        <f t="shared" si="3"/>
        <v>55</v>
      </c>
      <c r="AO39" s="11" t="s">
        <v>223</v>
      </c>
    </row>
    <row r="40" spans="1:41" ht="15" customHeight="1">
      <c r="A40" s="2">
        <v>37</v>
      </c>
      <c r="B40" s="21" t="s">
        <v>70</v>
      </c>
      <c r="C40" s="21"/>
      <c r="D40" s="21" t="s">
        <v>71</v>
      </c>
      <c r="E40" s="21"/>
      <c r="F40" s="21"/>
      <c r="G40" s="21"/>
      <c r="U40" s="9"/>
      <c r="V40" s="9"/>
      <c r="W40">
        <v>0</v>
      </c>
      <c r="X40" s="10">
        <f t="shared" si="2"/>
        <v>0</v>
      </c>
      <c r="Y40" s="5">
        <f t="shared" si="5"/>
        <v>9</v>
      </c>
      <c r="Z40">
        <v>0.5</v>
      </c>
      <c r="AA40">
        <v>1</v>
      </c>
      <c r="AB40">
        <v>2</v>
      </c>
      <c r="AC40">
        <v>1</v>
      </c>
      <c r="AD40">
        <v>4.5</v>
      </c>
      <c r="AE40" s="5">
        <f t="shared" si="4"/>
        <v>14</v>
      </c>
      <c r="AF40">
        <v>4</v>
      </c>
      <c r="AG40">
        <v>4</v>
      </c>
      <c r="AH40">
        <v>3.5</v>
      </c>
      <c r="AI40">
        <v>0.5</v>
      </c>
      <c r="AJ40">
        <v>2</v>
      </c>
      <c r="AK40" t="s">
        <v>207</v>
      </c>
      <c r="AL40">
        <f>5+0+2+2+2+3+2</f>
        <v>16</v>
      </c>
      <c r="AM40">
        <f>1+1+4+1+0+5</f>
        <v>12</v>
      </c>
      <c r="AN40" s="8">
        <f t="shared" si="3"/>
        <v>51</v>
      </c>
      <c r="AO40" s="11" t="s">
        <v>223</v>
      </c>
    </row>
    <row r="41" spans="1:42" ht="15" customHeight="1">
      <c r="A41" s="2">
        <v>38</v>
      </c>
      <c r="B41" s="21" t="s">
        <v>72</v>
      </c>
      <c r="C41" s="21"/>
      <c r="D41" s="21" t="s">
        <v>73</v>
      </c>
      <c r="E41" s="21"/>
      <c r="F41" s="21"/>
      <c r="G41" s="21"/>
      <c r="J41">
        <v>0</v>
      </c>
      <c r="K41">
        <v>0</v>
      </c>
      <c r="N41">
        <v>1</v>
      </c>
      <c r="O41">
        <v>0</v>
      </c>
      <c r="P41">
        <v>0</v>
      </c>
      <c r="T41">
        <v>0</v>
      </c>
      <c r="U41" s="9"/>
      <c r="V41" s="9"/>
      <c r="W41">
        <v>1</v>
      </c>
      <c r="X41" s="10">
        <f t="shared" si="2"/>
        <v>1</v>
      </c>
      <c r="Y41" s="5">
        <f t="shared" si="5"/>
        <v>11</v>
      </c>
      <c r="Z41" s="12">
        <v>4</v>
      </c>
      <c r="AA41" s="12">
        <v>3.5</v>
      </c>
      <c r="AB41" s="12">
        <v>0</v>
      </c>
      <c r="AC41" s="12">
        <v>1.5</v>
      </c>
      <c r="AD41" s="12">
        <v>2</v>
      </c>
      <c r="AE41" s="5">
        <f t="shared" si="4"/>
        <v>8</v>
      </c>
      <c r="AF41">
        <v>2</v>
      </c>
      <c r="AG41">
        <v>3</v>
      </c>
      <c r="AH41">
        <v>2</v>
      </c>
      <c r="AI41">
        <v>1</v>
      </c>
      <c r="AJ41">
        <v>0</v>
      </c>
      <c r="AK41" t="s">
        <v>207</v>
      </c>
      <c r="AL41">
        <f>1+2+0+2+1+1.5+2</f>
        <v>9.5</v>
      </c>
      <c r="AM41">
        <f>4+0+3+1+1+0</f>
        <v>9</v>
      </c>
      <c r="AN41" s="8">
        <f t="shared" si="3"/>
        <v>38.5</v>
      </c>
      <c r="AO41" s="11" t="s">
        <v>225</v>
      </c>
      <c r="AP41" s="18" t="s">
        <v>223</v>
      </c>
    </row>
    <row r="42" spans="1:41" ht="15" customHeight="1">
      <c r="A42" s="2">
        <v>39</v>
      </c>
      <c r="B42" s="21" t="s">
        <v>74</v>
      </c>
      <c r="C42" s="21"/>
      <c r="D42" s="21" t="s">
        <v>75</v>
      </c>
      <c r="E42" s="21"/>
      <c r="F42" s="21"/>
      <c r="G42" s="21"/>
      <c r="H42">
        <v>0</v>
      </c>
      <c r="N42">
        <v>0</v>
      </c>
      <c r="Q42">
        <v>0</v>
      </c>
      <c r="U42" s="9"/>
      <c r="V42" s="9"/>
      <c r="W42">
        <v>0</v>
      </c>
      <c r="X42" s="10">
        <f t="shared" si="2"/>
        <v>0</v>
      </c>
      <c r="Y42" s="5">
        <f t="shared" si="5"/>
        <v>9</v>
      </c>
      <c r="Z42">
        <v>0.5</v>
      </c>
      <c r="AA42">
        <v>1.5</v>
      </c>
      <c r="AB42">
        <v>0.5</v>
      </c>
      <c r="AC42">
        <v>2.5</v>
      </c>
      <c r="AD42">
        <v>4</v>
      </c>
      <c r="AE42" s="5">
        <f t="shared" si="4"/>
        <v>11</v>
      </c>
      <c r="AF42">
        <v>2</v>
      </c>
      <c r="AG42">
        <v>3.5</v>
      </c>
      <c r="AH42">
        <v>3.5</v>
      </c>
      <c r="AI42">
        <v>0.5</v>
      </c>
      <c r="AJ42">
        <v>1.5</v>
      </c>
      <c r="AK42" t="s">
        <v>207</v>
      </c>
      <c r="AL42">
        <f>4+2+2+1+2+1+0</f>
        <v>12</v>
      </c>
      <c r="AM42">
        <f>0+0+0.5+1+0+0</f>
        <v>1.5</v>
      </c>
      <c r="AN42" s="8">
        <f t="shared" si="3"/>
        <v>33.5</v>
      </c>
      <c r="AO42" s="11" t="s">
        <v>225</v>
      </c>
    </row>
    <row r="43" spans="1:41" ht="15" customHeight="1">
      <c r="A43" s="2">
        <v>40</v>
      </c>
      <c r="B43" s="21" t="s">
        <v>76</v>
      </c>
      <c r="C43" s="21"/>
      <c r="D43" s="21" t="s">
        <v>77</v>
      </c>
      <c r="E43" s="21"/>
      <c r="F43" s="21"/>
      <c r="G43" s="21"/>
      <c r="H43">
        <v>1</v>
      </c>
      <c r="J43">
        <v>0</v>
      </c>
      <c r="K43">
        <v>1</v>
      </c>
      <c r="L43">
        <v>0</v>
      </c>
      <c r="M43">
        <v>1</v>
      </c>
      <c r="O43">
        <v>1</v>
      </c>
      <c r="P43">
        <v>1</v>
      </c>
      <c r="Q43">
        <v>0</v>
      </c>
      <c r="R43">
        <v>1</v>
      </c>
      <c r="T43">
        <v>1</v>
      </c>
      <c r="U43" s="9">
        <v>1</v>
      </c>
      <c r="V43" s="9">
        <v>3</v>
      </c>
      <c r="W43">
        <v>7</v>
      </c>
      <c r="X43" s="10">
        <f t="shared" si="2"/>
        <v>11</v>
      </c>
      <c r="Y43" s="5">
        <f t="shared" si="5"/>
        <v>10.5</v>
      </c>
      <c r="Z43">
        <v>1.5</v>
      </c>
      <c r="AA43">
        <v>1.5</v>
      </c>
      <c r="AB43">
        <v>0</v>
      </c>
      <c r="AC43">
        <v>1.5</v>
      </c>
      <c r="AD43">
        <v>6</v>
      </c>
      <c r="AE43" s="5">
        <f t="shared" si="4"/>
        <v>12.5</v>
      </c>
      <c r="AF43" s="7">
        <v>3</v>
      </c>
      <c r="AG43">
        <v>3</v>
      </c>
      <c r="AH43">
        <v>3.5</v>
      </c>
      <c r="AI43">
        <v>0</v>
      </c>
      <c r="AJ43">
        <v>3</v>
      </c>
      <c r="AK43" t="s">
        <v>207</v>
      </c>
      <c r="AL43">
        <f>7+1+7+4+2+2+3</f>
        <v>26</v>
      </c>
      <c r="AM43">
        <f>5+2+0+0+0+5</f>
        <v>12</v>
      </c>
      <c r="AN43" s="8">
        <f t="shared" si="3"/>
        <v>72</v>
      </c>
      <c r="AO43" s="11" t="s">
        <v>219</v>
      </c>
    </row>
    <row r="44" spans="1:41" ht="15" customHeight="1">
      <c r="A44" s="2">
        <v>41</v>
      </c>
      <c r="B44" s="21" t="s">
        <v>78</v>
      </c>
      <c r="C44" s="21"/>
      <c r="D44" s="21" t="s">
        <v>79</v>
      </c>
      <c r="E44" s="21"/>
      <c r="F44" s="21"/>
      <c r="G44" s="21"/>
      <c r="H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0</v>
      </c>
      <c r="S44">
        <v>1</v>
      </c>
      <c r="U44" s="9"/>
      <c r="V44" s="9">
        <v>3</v>
      </c>
      <c r="W44">
        <v>9</v>
      </c>
      <c r="X44" s="10">
        <f t="shared" si="2"/>
        <v>12</v>
      </c>
      <c r="Y44" s="5">
        <f t="shared" si="5"/>
        <v>18</v>
      </c>
      <c r="Z44">
        <v>3</v>
      </c>
      <c r="AA44">
        <v>2.5</v>
      </c>
      <c r="AB44">
        <v>3</v>
      </c>
      <c r="AC44">
        <v>2.5</v>
      </c>
      <c r="AD44">
        <v>7</v>
      </c>
      <c r="AE44" s="5">
        <f t="shared" si="4"/>
        <v>14.5</v>
      </c>
      <c r="AF44" s="7">
        <v>2</v>
      </c>
      <c r="AG44" s="7">
        <v>3.5</v>
      </c>
      <c r="AH44" s="7">
        <v>4</v>
      </c>
      <c r="AI44" s="7">
        <v>3</v>
      </c>
      <c r="AJ44" s="7">
        <v>2</v>
      </c>
      <c r="AK44" t="s">
        <v>207</v>
      </c>
      <c r="AL44">
        <f>5+1+4+1+1+1+1</f>
        <v>14</v>
      </c>
      <c r="AM44">
        <f>5+2+2+3+3+5</f>
        <v>20</v>
      </c>
      <c r="AN44" s="8">
        <f t="shared" si="3"/>
        <v>78.5</v>
      </c>
      <c r="AO44" s="11" t="s">
        <v>219</v>
      </c>
    </row>
    <row r="45" spans="1:41" ht="15" customHeight="1">
      <c r="A45" s="2">
        <v>42</v>
      </c>
      <c r="B45" s="21" t="s">
        <v>80</v>
      </c>
      <c r="C45" s="21"/>
      <c r="D45" s="21" t="s">
        <v>81</v>
      </c>
      <c r="E45" s="21"/>
      <c r="F45" s="21"/>
      <c r="G45" s="21"/>
      <c r="H45">
        <v>1</v>
      </c>
      <c r="I45">
        <v>1</v>
      </c>
      <c r="L45">
        <v>1</v>
      </c>
      <c r="N45">
        <v>1</v>
      </c>
      <c r="P45">
        <v>0</v>
      </c>
      <c r="U45" s="9"/>
      <c r="V45" s="9"/>
      <c r="W45">
        <v>4</v>
      </c>
      <c r="X45" s="10">
        <f t="shared" si="2"/>
        <v>4</v>
      </c>
      <c r="Y45" s="5">
        <f t="shared" si="5"/>
        <v>20</v>
      </c>
      <c r="Z45">
        <v>3</v>
      </c>
      <c r="AA45">
        <v>3</v>
      </c>
      <c r="AB45">
        <v>3</v>
      </c>
      <c r="AC45">
        <v>3</v>
      </c>
      <c r="AD45">
        <v>8</v>
      </c>
      <c r="AE45" s="5">
        <f t="shared" si="4"/>
        <v>0</v>
      </c>
      <c r="AK45" t="s">
        <v>210</v>
      </c>
      <c r="AN45" s="8">
        <f t="shared" si="3"/>
        <v>24</v>
      </c>
      <c r="AO45" s="11" t="s">
        <v>226</v>
      </c>
    </row>
    <row r="46" spans="1:41" ht="15" customHeight="1">
      <c r="A46" s="2">
        <v>43</v>
      </c>
      <c r="B46" s="21" t="s">
        <v>82</v>
      </c>
      <c r="C46" s="21"/>
      <c r="D46" s="21" t="s">
        <v>83</v>
      </c>
      <c r="E46" s="21"/>
      <c r="F46" s="21"/>
      <c r="G46" s="21"/>
      <c r="H46">
        <v>0</v>
      </c>
      <c r="J46">
        <v>0</v>
      </c>
      <c r="L46">
        <v>0</v>
      </c>
      <c r="M46">
        <v>0</v>
      </c>
      <c r="N46">
        <v>0</v>
      </c>
      <c r="O46">
        <v>0</v>
      </c>
      <c r="Q46">
        <v>0</v>
      </c>
      <c r="R46">
        <v>0</v>
      </c>
      <c r="S46">
        <v>0</v>
      </c>
      <c r="T46">
        <v>1</v>
      </c>
      <c r="U46" s="9"/>
      <c r="V46" s="9"/>
      <c r="W46">
        <v>1</v>
      </c>
      <c r="X46" s="10">
        <f t="shared" si="2"/>
        <v>1</v>
      </c>
      <c r="Y46" s="5">
        <f t="shared" si="5"/>
        <v>13</v>
      </c>
      <c r="Z46" s="12">
        <v>3.5</v>
      </c>
      <c r="AA46" s="12">
        <v>0</v>
      </c>
      <c r="AB46" s="12">
        <v>1.5</v>
      </c>
      <c r="AC46" s="12">
        <v>4</v>
      </c>
      <c r="AD46" s="12">
        <v>4</v>
      </c>
      <c r="AE46" s="5">
        <f t="shared" si="4"/>
        <v>10</v>
      </c>
      <c r="AF46" s="14">
        <v>0</v>
      </c>
      <c r="AG46" s="15">
        <v>4</v>
      </c>
      <c r="AH46" s="15">
        <v>4</v>
      </c>
      <c r="AI46" s="15">
        <v>0</v>
      </c>
      <c r="AJ46" s="15">
        <v>2</v>
      </c>
      <c r="AK46" t="s">
        <v>207</v>
      </c>
      <c r="AL46">
        <f>2+1+2+0+2+0+0</f>
        <v>7</v>
      </c>
      <c r="AM46">
        <f>0+0+0+1+0+0</f>
        <v>1</v>
      </c>
      <c r="AN46" s="8">
        <f t="shared" si="3"/>
        <v>32</v>
      </c>
      <c r="AO46" s="11" t="s">
        <v>225</v>
      </c>
    </row>
    <row r="47" spans="1:41" ht="15" customHeight="1">
      <c r="A47" s="2">
        <v>44</v>
      </c>
      <c r="B47" s="21" t="s">
        <v>84</v>
      </c>
      <c r="C47" s="21"/>
      <c r="D47" s="21" t="s">
        <v>85</v>
      </c>
      <c r="E47" s="21"/>
      <c r="F47" s="21"/>
      <c r="G47" s="21"/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0</v>
      </c>
      <c r="Q47">
        <v>1</v>
      </c>
      <c r="R47">
        <v>1</v>
      </c>
      <c r="S47">
        <v>0</v>
      </c>
      <c r="T47">
        <v>0</v>
      </c>
      <c r="U47" s="9"/>
      <c r="V47" s="9">
        <v>2</v>
      </c>
      <c r="W47">
        <v>10</v>
      </c>
      <c r="X47" s="10">
        <f t="shared" si="2"/>
        <v>12</v>
      </c>
      <c r="Y47" s="5">
        <f t="shared" si="5"/>
        <v>13</v>
      </c>
      <c r="Z47" s="12">
        <v>4</v>
      </c>
      <c r="AA47" s="12">
        <v>2</v>
      </c>
      <c r="AB47" s="12">
        <v>4</v>
      </c>
      <c r="AC47" s="12">
        <v>3</v>
      </c>
      <c r="AD47" s="12">
        <v>0</v>
      </c>
      <c r="AE47" s="5">
        <f aca="true" t="shared" si="6" ref="AE47:AE71">SUM(AF47:AJ47)</f>
        <v>15</v>
      </c>
      <c r="AF47">
        <v>3</v>
      </c>
      <c r="AG47">
        <v>2</v>
      </c>
      <c r="AH47">
        <v>3.5</v>
      </c>
      <c r="AI47">
        <v>3.5</v>
      </c>
      <c r="AJ47">
        <v>3</v>
      </c>
      <c r="AK47" t="s">
        <v>207</v>
      </c>
      <c r="AL47">
        <f>5+2+1+1+0+2+0</f>
        <v>11</v>
      </c>
      <c r="AM47">
        <f>5+2+0+0+1+5</f>
        <v>13</v>
      </c>
      <c r="AN47" s="8">
        <f>X47+Y47+AE47+AL47+AM47</f>
        <v>64</v>
      </c>
      <c r="AO47" s="11" t="s">
        <v>221</v>
      </c>
    </row>
    <row r="48" spans="1:42" ht="15" customHeight="1">
      <c r="A48" s="2">
        <v>45</v>
      </c>
      <c r="B48" s="21" t="s">
        <v>86</v>
      </c>
      <c r="C48" s="21"/>
      <c r="D48" s="21" t="s">
        <v>87</v>
      </c>
      <c r="E48" s="21"/>
      <c r="F48" s="21"/>
      <c r="G48" s="21"/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Q48">
        <v>0</v>
      </c>
      <c r="R48">
        <v>0</v>
      </c>
      <c r="T48">
        <v>0</v>
      </c>
      <c r="U48" s="9">
        <v>0</v>
      </c>
      <c r="V48" s="9"/>
      <c r="W48">
        <v>0</v>
      </c>
      <c r="X48" s="10">
        <f t="shared" si="2"/>
        <v>0</v>
      </c>
      <c r="Y48" s="5">
        <f t="shared" si="5"/>
        <v>11.5</v>
      </c>
      <c r="Z48">
        <v>2</v>
      </c>
      <c r="AA48">
        <v>1.5</v>
      </c>
      <c r="AB48">
        <v>1</v>
      </c>
      <c r="AC48">
        <v>2.5</v>
      </c>
      <c r="AD48">
        <v>4.5</v>
      </c>
      <c r="AE48" s="5">
        <f t="shared" si="6"/>
        <v>9</v>
      </c>
      <c r="AF48">
        <v>2.5</v>
      </c>
      <c r="AG48">
        <v>2.5</v>
      </c>
      <c r="AH48">
        <v>4</v>
      </c>
      <c r="AI48">
        <v>0</v>
      </c>
      <c r="AJ48">
        <v>0</v>
      </c>
      <c r="AK48" t="s">
        <v>207</v>
      </c>
      <c r="AL48">
        <f>6.5+2+5+1.5+1+1+0</f>
        <v>17</v>
      </c>
      <c r="AM48">
        <f>3+0+0+1+0+2</f>
        <v>6</v>
      </c>
      <c r="AN48" s="8">
        <f t="shared" si="3"/>
        <v>43.5</v>
      </c>
      <c r="AO48" s="11" t="s">
        <v>225</v>
      </c>
      <c r="AP48" s="18" t="s">
        <v>221</v>
      </c>
    </row>
    <row r="49" spans="1:41" ht="15" customHeight="1">
      <c r="A49" s="2">
        <v>46</v>
      </c>
      <c r="B49" s="21" t="s">
        <v>88</v>
      </c>
      <c r="C49" s="21"/>
      <c r="D49" s="21" t="s">
        <v>89</v>
      </c>
      <c r="E49" s="21"/>
      <c r="F49" s="21"/>
      <c r="G49" s="21"/>
      <c r="H49">
        <v>0</v>
      </c>
      <c r="K49">
        <v>0</v>
      </c>
      <c r="N49">
        <v>0</v>
      </c>
      <c r="O49">
        <v>0</v>
      </c>
      <c r="Q49">
        <v>0</v>
      </c>
      <c r="R49">
        <v>0</v>
      </c>
      <c r="S49">
        <v>0</v>
      </c>
      <c r="U49" s="9"/>
      <c r="V49" s="9"/>
      <c r="W49">
        <v>0</v>
      </c>
      <c r="X49" s="10">
        <f t="shared" si="2"/>
        <v>0</v>
      </c>
      <c r="Y49" s="5">
        <f t="shared" si="5"/>
        <v>0</v>
      </c>
      <c r="AE49" s="5">
        <f t="shared" si="6"/>
        <v>0</v>
      </c>
      <c r="AN49" s="8">
        <f t="shared" si="3"/>
        <v>0</v>
      </c>
      <c r="AO49" s="11" t="s">
        <v>226</v>
      </c>
    </row>
    <row r="50" spans="1:41" ht="15" customHeight="1">
      <c r="A50" s="2">
        <v>47</v>
      </c>
      <c r="B50" s="21" t="s">
        <v>90</v>
      </c>
      <c r="C50" s="21"/>
      <c r="D50" s="21" t="s">
        <v>91</v>
      </c>
      <c r="E50" s="21"/>
      <c r="F50" s="21"/>
      <c r="G50" s="21"/>
      <c r="H50">
        <v>1</v>
      </c>
      <c r="I50">
        <v>1</v>
      </c>
      <c r="J50">
        <v>1</v>
      </c>
      <c r="K50">
        <v>1</v>
      </c>
      <c r="L50">
        <v>0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 s="9">
        <v>1</v>
      </c>
      <c r="V50" s="9">
        <v>1</v>
      </c>
      <c r="W50">
        <v>10</v>
      </c>
      <c r="X50" s="10">
        <f t="shared" si="2"/>
        <v>12</v>
      </c>
      <c r="Y50" s="5">
        <f t="shared" si="5"/>
        <v>16</v>
      </c>
      <c r="Z50">
        <v>1</v>
      </c>
      <c r="AA50">
        <v>3</v>
      </c>
      <c r="AB50">
        <v>2.5</v>
      </c>
      <c r="AC50">
        <v>2.5</v>
      </c>
      <c r="AD50">
        <v>7</v>
      </c>
      <c r="AE50" s="5">
        <f t="shared" si="6"/>
        <v>19</v>
      </c>
      <c r="AF50">
        <v>3</v>
      </c>
      <c r="AG50">
        <v>4</v>
      </c>
      <c r="AH50">
        <v>4</v>
      </c>
      <c r="AI50">
        <v>4</v>
      </c>
      <c r="AJ50">
        <v>4</v>
      </c>
      <c r="AK50" t="s">
        <v>207</v>
      </c>
      <c r="AL50">
        <f>7+2+7+4+2+4+2</f>
        <v>28</v>
      </c>
      <c r="AM50">
        <f>5+4+4.5+4.5+2+5</f>
        <v>25</v>
      </c>
      <c r="AN50" s="8">
        <f t="shared" si="3"/>
        <v>100</v>
      </c>
      <c r="AO50" s="11" t="s">
        <v>218</v>
      </c>
    </row>
    <row r="51" spans="1:41" ht="15" customHeight="1">
      <c r="A51" s="2">
        <v>48</v>
      </c>
      <c r="B51" s="21" t="s">
        <v>92</v>
      </c>
      <c r="C51" s="21"/>
      <c r="D51" s="21" t="s">
        <v>93</v>
      </c>
      <c r="E51" s="21"/>
      <c r="F51" s="21"/>
      <c r="G51" s="21"/>
      <c r="H51">
        <v>1</v>
      </c>
      <c r="I51">
        <v>1</v>
      </c>
      <c r="J51">
        <v>1</v>
      </c>
      <c r="K51">
        <v>0</v>
      </c>
      <c r="L51">
        <v>0</v>
      </c>
      <c r="M51">
        <v>1</v>
      </c>
      <c r="N51">
        <v>1</v>
      </c>
      <c r="O51">
        <v>1</v>
      </c>
      <c r="Q51">
        <v>0</v>
      </c>
      <c r="R51">
        <v>1</v>
      </c>
      <c r="S51">
        <v>0</v>
      </c>
      <c r="T51">
        <v>0</v>
      </c>
      <c r="U51" s="9"/>
      <c r="V51" s="9"/>
      <c r="W51">
        <v>7</v>
      </c>
      <c r="X51" s="10">
        <f t="shared" si="2"/>
        <v>7</v>
      </c>
      <c r="Y51" s="5">
        <f t="shared" si="5"/>
        <v>11.5</v>
      </c>
      <c r="Z51">
        <v>1.5</v>
      </c>
      <c r="AA51">
        <v>0</v>
      </c>
      <c r="AB51">
        <v>2.5</v>
      </c>
      <c r="AC51">
        <v>2.5</v>
      </c>
      <c r="AD51">
        <v>5</v>
      </c>
      <c r="AE51" s="5">
        <f t="shared" si="6"/>
        <v>14</v>
      </c>
      <c r="AF51">
        <v>2</v>
      </c>
      <c r="AG51">
        <v>3</v>
      </c>
      <c r="AH51">
        <v>4</v>
      </c>
      <c r="AI51">
        <v>2.5</v>
      </c>
      <c r="AJ51">
        <v>2.5</v>
      </c>
      <c r="AK51" t="s">
        <v>207</v>
      </c>
      <c r="AL51">
        <f>5+1+0+1+2+3+3</f>
        <v>15</v>
      </c>
      <c r="AM51">
        <f>0+1+0+1+0+3</f>
        <v>5</v>
      </c>
      <c r="AN51" s="8">
        <f t="shared" si="3"/>
        <v>52.5</v>
      </c>
      <c r="AO51" s="11" t="s">
        <v>223</v>
      </c>
    </row>
    <row r="52" spans="1:41" ht="15" customHeight="1">
      <c r="A52" s="2">
        <v>49</v>
      </c>
      <c r="B52" s="21" t="s">
        <v>94</v>
      </c>
      <c r="C52" s="21"/>
      <c r="D52" s="21" t="s">
        <v>95</v>
      </c>
      <c r="E52" s="21"/>
      <c r="F52" s="21"/>
      <c r="G52" s="21"/>
      <c r="H52">
        <v>1</v>
      </c>
      <c r="I52">
        <v>1</v>
      </c>
      <c r="J52">
        <v>1</v>
      </c>
      <c r="K52">
        <v>1</v>
      </c>
      <c r="L52">
        <v>1</v>
      </c>
      <c r="N52">
        <v>1</v>
      </c>
      <c r="O52">
        <v>1</v>
      </c>
      <c r="P52">
        <v>0</v>
      </c>
      <c r="Q52">
        <v>1</v>
      </c>
      <c r="R52">
        <v>1</v>
      </c>
      <c r="S52">
        <v>0</v>
      </c>
      <c r="T52">
        <v>1</v>
      </c>
      <c r="U52" s="9"/>
      <c r="V52" s="9">
        <v>1</v>
      </c>
      <c r="W52">
        <v>10</v>
      </c>
      <c r="X52" s="10">
        <f t="shared" si="2"/>
        <v>11</v>
      </c>
      <c r="Y52" s="5">
        <f t="shared" si="5"/>
        <v>8</v>
      </c>
      <c r="Z52">
        <v>2</v>
      </c>
      <c r="AA52">
        <v>1</v>
      </c>
      <c r="AB52">
        <v>2</v>
      </c>
      <c r="AC52">
        <v>0</v>
      </c>
      <c r="AD52">
        <v>3</v>
      </c>
      <c r="AE52" s="5">
        <f t="shared" si="6"/>
        <v>15</v>
      </c>
      <c r="AF52" s="7">
        <v>4</v>
      </c>
      <c r="AG52" s="7">
        <v>2.5</v>
      </c>
      <c r="AH52" s="7">
        <v>3.5</v>
      </c>
      <c r="AI52" s="7">
        <v>2</v>
      </c>
      <c r="AJ52">
        <v>3</v>
      </c>
      <c r="AK52" t="s">
        <v>207</v>
      </c>
      <c r="AL52">
        <f>5+2+4+3+2+2+4</f>
        <v>22</v>
      </c>
      <c r="AM52">
        <f>5+2+0+0+0+3</f>
        <v>10</v>
      </c>
      <c r="AN52" s="8">
        <f t="shared" si="3"/>
        <v>66</v>
      </c>
      <c r="AO52" s="11" t="s">
        <v>221</v>
      </c>
    </row>
    <row r="53" spans="1:42" ht="15" customHeight="1">
      <c r="A53" s="2">
        <v>50</v>
      </c>
      <c r="B53" s="21" t="s">
        <v>96</v>
      </c>
      <c r="C53" s="21"/>
      <c r="D53" s="21" t="s">
        <v>97</v>
      </c>
      <c r="E53" s="21"/>
      <c r="F53" s="21"/>
      <c r="G53" s="21"/>
      <c r="H53">
        <v>1</v>
      </c>
      <c r="J53">
        <v>0</v>
      </c>
      <c r="U53" s="9"/>
      <c r="V53" s="9"/>
      <c r="W53">
        <v>1</v>
      </c>
      <c r="X53" s="10">
        <f t="shared" si="2"/>
        <v>1</v>
      </c>
      <c r="Y53" s="5">
        <f t="shared" si="5"/>
        <v>8</v>
      </c>
      <c r="Z53">
        <v>1.5</v>
      </c>
      <c r="AA53">
        <v>3.5</v>
      </c>
      <c r="AB53">
        <v>0</v>
      </c>
      <c r="AC53">
        <v>0</v>
      </c>
      <c r="AD53">
        <v>3</v>
      </c>
      <c r="AE53" s="5">
        <f t="shared" si="6"/>
        <v>8</v>
      </c>
      <c r="AF53" s="7">
        <v>2</v>
      </c>
      <c r="AG53" s="7">
        <v>0</v>
      </c>
      <c r="AH53" s="7">
        <v>4</v>
      </c>
      <c r="AI53" s="7">
        <v>0</v>
      </c>
      <c r="AJ53" s="7">
        <v>2</v>
      </c>
      <c r="AK53" t="s">
        <v>220</v>
      </c>
      <c r="AN53" s="8">
        <f t="shared" si="3"/>
        <v>17</v>
      </c>
      <c r="AO53" s="11" t="s">
        <v>225</v>
      </c>
      <c r="AP53" s="18" t="s">
        <v>223</v>
      </c>
    </row>
    <row r="54" spans="1:41" ht="15" customHeight="1">
      <c r="A54" s="2">
        <v>51</v>
      </c>
      <c r="B54" s="21" t="s">
        <v>98</v>
      </c>
      <c r="C54" s="21"/>
      <c r="D54" s="21" t="s">
        <v>99</v>
      </c>
      <c r="E54" s="21"/>
      <c r="F54" s="21"/>
      <c r="G54" s="21"/>
      <c r="H54">
        <v>1</v>
      </c>
      <c r="I54">
        <v>2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0</v>
      </c>
      <c r="R54">
        <v>1</v>
      </c>
      <c r="S54">
        <v>0</v>
      </c>
      <c r="U54" s="9">
        <v>1</v>
      </c>
      <c r="V54" s="9">
        <v>1</v>
      </c>
      <c r="W54">
        <v>10</v>
      </c>
      <c r="X54" s="10">
        <f t="shared" si="2"/>
        <v>12</v>
      </c>
      <c r="Y54" s="5">
        <f t="shared" si="5"/>
        <v>14.5</v>
      </c>
      <c r="Z54">
        <v>2</v>
      </c>
      <c r="AA54">
        <v>3</v>
      </c>
      <c r="AB54">
        <v>1</v>
      </c>
      <c r="AC54">
        <v>2.5</v>
      </c>
      <c r="AD54">
        <v>6</v>
      </c>
      <c r="AE54" s="5">
        <f t="shared" si="6"/>
        <v>18.5</v>
      </c>
      <c r="AF54">
        <v>4</v>
      </c>
      <c r="AG54">
        <v>3</v>
      </c>
      <c r="AH54">
        <v>4</v>
      </c>
      <c r="AI54">
        <v>4</v>
      </c>
      <c r="AJ54">
        <v>3.5</v>
      </c>
      <c r="AK54" t="s">
        <v>207</v>
      </c>
      <c r="AL54">
        <f>5+2+6+3+2+3+3</f>
        <v>24</v>
      </c>
      <c r="AM54">
        <f>5+5+4.5+5+5+5</f>
        <v>29.5</v>
      </c>
      <c r="AN54" s="8">
        <f t="shared" si="3"/>
        <v>98.5</v>
      </c>
      <c r="AO54" s="11" t="s">
        <v>218</v>
      </c>
    </row>
    <row r="55" spans="1:41" ht="15" customHeight="1">
      <c r="A55" s="2">
        <v>52</v>
      </c>
      <c r="B55" s="21" t="s">
        <v>100</v>
      </c>
      <c r="C55" s="21"/>
      <c r="D55" s="21" t="s">
        <v>101</v>
      </c>
      <c r="E55" s="21"/>
      <c r="F55" s="21"/>
      <c r="G55" s="21"/>
      <c r="H55">
        <v>1</v>
      </c>
      <c r="J55">
        <v>0</v>
      </c>
      <c r="K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 s="9">
        <v>0</v>
      </c>
      <c r="V55" s="9"/>
      <c r="W55">
        <v>10</v>
      </c>
      <c r="X55" s="10">
        <f t="shared" si="2"/>
        <v>10</v>
      </c>
      <c r="Y55" s="5">
        <f t="shared" si="5"/>
        <v>11</v>
      </c>
      <c r="Z55">
        <v>1.5</v>
      </c>
      <c r="AA55">
        <v>0</v>
      </c>
      <c r="AB55">
        <v>1</v>
      </c>
      <c r="AC55">
        <v>2.5</v>
      </c>
      <c r="AD55">
        <v>6</v>
      </c>
      <c r="AE55" s="5">
        <f t="shared" si="6"/>
        <v>17</v>
      </c>
      <c r="AF55" s="12">
        <v>3</v>
      </c>
      <c r="AG55" s="12">
        <v>3.5</v>
      </c>
      <c r="AH55" s="12">
        <v>4</v>
      </c>
      <c r="AI55" s="12">
        <v>3.5</v>
      </c>
      <c r="AJ55" s="12">
        <v>3</v>
      </c>
      <c r="AK55" t="s">
        <v>207</v>
      </c>
      <c r="AL55">
        <f>5+2+2+0+2+4+2</f>
        <v>17</v>
      </c>
      <c r="AM55">
        <f>0+3+0+0+0+0</f>
        <v>3</v>
      </c>
      <c r="AN55" s="8">
        <f t="shared" si="3"/>
        <v>58</v>
      </c>
      <c r="AO55" s="11" t="s">
        <v>223</v>
      </c>
    </row>
    <row r="56" spans="1:41" ht="15" customHeight="1">
      <c r="A56" s="2">
        <v>53</v>
      </c>
      <c r="B56" s="2" t="s">
        <v>189</v>
      </c>
      <c r="C56" s="2"/>
      <c r="D56" s="24" t="s">
        <v>184</v>
      </c>
      <c r="E56" s="24"/>
      <c r="F56" s="24"/>
      <c r="G56" s="2"/>
      <c r="J56">
        <v>0</v>
      </c>
      <c r="U56" s="9"/>
      <c r="V56" s="9"/>
      <c r="W56">
        <v>0</v>
      </c>
      <c r="X56" s="10">
        <f t="shared" si="2"/>
        <v>0</v>
      </c>
      <c r="Y56" s="5">
        <f t="shared" si="5"/>
        <v>12</v>
      </c>
      <c r="Z56">
        <v>1.5</v>
      </c>
      <c r="AA56">
        <v>0</v>
      </c>
      <c r="AB56">
        <v>3</v>
      </c>
      <c r="AC56">
        <v>2</v>
      </c>
      <c r="AD56">
        <v>5.5</v>
      </c>
      <c r="AE56" s="5">
        <f t="shared" si="6"/>
        <v>17.5</v>
      </c>
      <c r="AF56">
        <v>3</v>
      </c>
      <c r="AG56">
        <v>2.5</v>
      </c>
      <c r="AH56">
        <v>4</v>
      </c>
      <c r="AI56">
        <v>4</v>
      </c>
      <c r="AJ56">
        <v>4</v>
      </c>
      <c r="AK56" t="s">
        <v>207</v>
      </c>
      <c r="AL56">
        <f>6.5+1+2+1+2+3+2</f>
        <v>17.5</v>
      </c>
      <c r="AM56">
        <f>5+0+4+1+2+5</f>
        <v>17</v>
      </c>
      <c r="AN56" s="8">
        <f t="shared" si="3"/>
        <v>64</v>
      </c>
      <c r="AO56" s="11" t="s">
        <v>221</v>
      </c>
    </row>
    <row r="57" spans="1:41" ht="15" customHeight="1">
      <c r="A57" s="2">
        <v>54</v>
      </c>
      <c r="B57" s="1" t="s">
        <v>190</v>
      </c>
      <c r="C57" s="1"/>
      <c r="D57" s="24" t="s">
        <v>181</v>
      </c>
      <c r="E57" s="24"/>
      <c r="F57" s="24"/>
      <c r="G57" s="1"/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P57">
        <v>0</v>
      </c>
      <c r="Q57">
        <v>0</v>
      </c>
      <c r="R57">
        <v>0</v>
      </c>
      <c r="U57" s="9"/>
      <c r="V57" s="9"/>
      <c r="W57">
        <v>6</v>
      </c>
      <c r="X57" s="10">
        <f t="shared" si="2"/>
        <v>6</v>
      </c>
      <c r="Y57" s="5">
        <f t="shared" si="5"/>
        <v>10</v>
      </c>
      <c r="Z57">
        <v>1</v>
      </c>
      <c r="AA57">
        <v>1.5</v>
      </c>
      <c r="AB57">
        <v>1</v>
      </c>
      <c r="AC57">
        <v>1.5</v>
      </c>
      <c r="AD57">
        <v>5</v>
      </c>
      <c r="AE57" s="5">
        <f t="shared" si="6"/>
        <v>13</v>
      </c>
      <c r="AF57">
        <v>2</v>
      </c>
      <c r="AG57">
        <v>4</v>
      </c>
      <c r="AH57">
        <v>2</v>
      </c>
      <c r="AI57">
        <v>4</v>
      </c>
      <c r="AJ57">
        <v>1</v>
      </c>
      <c r="AK57" t="s">
        <v>207</v>
      </c>
      <c r="AL57">
        <f>5+2+2+2+2+2+2</f>
        <v>17</v>
      </c>
      <c r="AM57">
        <f>1+1+0+1+1+1</f>
        <v>5</v>
      </c>
      <c r="AN57" s="8">
        <f t="shared" si="3"/>
        <v>51</v>
      </c>
      <c r="AO57" s="11" t="s">
        <v>223</v>
      </c>
    </row>
    <row r="58" spans="1:41" ht="15" customHeight="1">
      <c r="A58" s="17"/>
      <c r="B58" s="17"/>
      <c r="C58" s="17"/>
      <c r="D58" s="24" t="s">
        <v>227</v>
      </c>
      <c r="E58" s="24"/>
      <c r="F58" s="24"/>
      <c r="G58" s="17"/>
      <c r="U58" s="9"/>
      <c r="V58" s="9"/>
      <c r="X58" s="10">
        <v>0</v>
      </c>
      <c r="Y58" s="5">
        <f t="shared" si="5"/>
        <v>15</v>
      </c>
      <c r="Z58">
        <v>4</v>
      </c>
      <c r="AA58">
        <v>1</v>
      </c>
      <c r="AB58">
        <v>2</v>
      </c>
      <c r="AC58">
        <v>4</v>
      </c>
      <c r="AD58">
        <v>4</v>
      </c>
      <c r="AE58" s="5">
        <f t="shared" si="6"/>
        <v>10</v>
      </c>
      <c r="AF58">
        <v>4</v>
      </c>
      <c r="AG58">
        <v>0</v>
      </c>
      <c r="AH58">
        <v>0</v>
      </c>
      <c r="AI58">
        <v>3.5</v>
      </c>
      <c r="AJ58">
        <v>2.5</v>
      </c>
      <c r="AK58" t="s">
        <v>207</v>
      </c>
      <c r="AL58">
        <f>5+1+5+2+0+2.5+2.5</f>
        <v>18</v>
      </c>
      <c r="AM58">
        <f>5+1+2.5+4.5+0+5</f>
        <v>18</v>
      </c>
      <c r="AN58" s="8">
        <f t="shared" si="3"/>
        <v>61</v>
      </c>
      <c r="AO58" s="11" t="s">
        <v>221</v>
      </c>
    </row>
    <row r="59" spans="1:41" ht="15" customHeight="1">
      <c r="A59" s="2">
        <v>55</v>
      </c>
      <c r="B59" s="21" t="s">
        <v>102</v>
      </c>
      <c r="C59" s="21"/>
      <c r="D59" s="21" t="s">
        <v>103</v>
      </c>
      <c r="E59" s="21"/>
      <c r="F59" s="21"/>
      <c r="G59" s="21"/>
      <c r="H59">
        <v>0</v>
      </c>
      <c r="N59">
        <v>0</v>
      </c>
      <c r="O59">
        <v>0</v>
      </c>
      <c r="R59">
        <v>1</v>
      </c>
      <c r="S59">
        <v>1</v>
      </c>
      <c r="T59">
        <v>0</v>
      </c>
      <c r="U59" s="9">
        <v>1</v>
      </c>
      <c r="V59" s="9">
        <v>1</v>
      </c>
      <c r="W59">
        <v>2</v>
      </c>
      <c r="X59" s="10">
        <f t="shared" si="2"/>
        <v>4</v>
      </c>
      <c r="Y59" s="5">
        <f t="shared" si="5"/>
        <v>14</v>
      </c>
      <c r="Z59" s="12">
        <v>3.5</v>
      </c>
      <c r="AA59" s="12">
        <v>0</v>
      </c>
      <c r="AB59" s="12">
        <v>2.5</v>
      </c>
      <c r="AC59" s="12">
        <v>4</v>
      </c>
      <c r="AD59" s="12">
        <v>4</v>
      </c>
      <c r="AE59" s="5">
        <f t="shared" si="6"/>
        <v>17.5</v>
      </c>
      <c r="AF59" s="7">
        <v>3</v>
      </c>
      <c r="AG59" s="7">
        <v>4</v>
      </c>
      <c r="AH59" s="7">
        <v>3.5</v>
      </c>
      <c r="AI59" s="7">
        <v>3</v>
      </c>
      <c r="AJ59" s="7">
        <v>4</v>
      </c>
      <c r="AK59" t="s">
        <v>207</v>
      </c>
      <c r="AL59">
        <f>1+2+4+2+2+1+2</f>
        <v>14</v>
      </c>
      <c r="AM59">
        <f>0+0+1+0+0+4</f>
        <v>5</v>
      </c>
      <c r="AN59" s="8">
        <f t="shared" si="3"/>
        <v>54.5</v>
      </c>
      <c r="AO59" s="11" t="s">
        <v>223</v>
      </c>
    </row>
    <row r="60" spans="1:41" ht="15" customHeight="1">
      <c r="A60" s="2">
        <v>56</v>
      </c>
      <c r="B60" s="21" t="s">
        <v>104</v>
      </c>
      <c r="C60" s="21"/>
      <c r="D60" s="21" t="s">
        <v>105</v>
      </c>
      <c r="E60" s="21"/>
      <c r="F60" s="21"/>
      <c r="G60" s="21"/>
      <c r="H60">
        <v>1</v>
      </c>
      <c r="I60">
        <v>1</v>
      </c>
      <c r="J60">
        <v>1</v>
      </c>
      <c r="K60">
        <v>0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0</v>
      </c>
      <c r="T60">
        <v>1</v>
      </c>
      <c r="U60" s="9">
        <v>1</v>
      </c>
      <c r="V60" s="9">
        <v>1</v>
      </c>
      <c r="W60">
        <v>10</v>
      </c>
      <c r="X60" s="10">
        <f t="shared" si="2"/>
        <v>12</v>
      </c>
      <c r="Y60" s="5">
        <f t="shared" si="5"/>
        <v>18</v>
      </c>
      <c r="Z60">
        <v>3</v>
      </c>
      <c r="AA60">
        <v>2.5</v>
      </c>
      <c r="AB60">
        <v>1.5</v>
      </c>
      <c r="AC60">
        <v>3</v>
      </c>
      <c r="AD60">
        <v>8</v>
      </c>
      <c r="AE60" s="5">
        <f t="shared" si="6"/>
        <v>20</v>
      </c>
      <c r="AF60" s="7">
        <v>4</v>
      </c>
      <c r="AG60" s="7">
        <v>4</v>
      </c>
      <c r="AH60" s="7">
        <v>4</v>
      </c>
      <c r="AI60" s="7">
        <v>4</v>
      </c>
      <c r="AJ60" s="7">
        <v>4</v>
      </c>
      <c r="AK60" t="s">
        <v>207</v>
      </c>
      <c r="AL60">
        <f>5+2+7+4+0+4+3</f>
        <v>25</v>
      </c>
      <c r="AM60">
        <f>5+4+2+4+5+5</f>
        <v>25</v>
      </c>
      <c r="AN60" s="8">
        <f t="shared" si="3"/>
        <v>100</v>
      </c>
      <c r="AO60" s="11" t="s">
        <v>218</v>
      </c>
    </row>
    <row r="61" spans="1:41" ht="15" customHeight="1">
      <c r="A61" s="2">
        <v>57</v>
      </c>
      <c r="B61" s="2" t="s">
        <v>191</v>
      </c>
      <c r="C61" s="2"/>
      <c r="D61" s="24" t="s">
        <v>183</v>
      </c>
      <c r="E61" s="24"/>
      <c r="F61" s="24"/>
      <c r="G61" s="2"/>
      <c r="J61">
        <v>0</v>
      </c>
      <c r="U61" s="9"/>
      <c r="V61" s="9"/>
      <c r="W61">
        <v>0</v>
      </c>
      <c r="X61" s="10">
        <f t="shared" si="2"/>
        <v>0</v>
      </c>
      <c r="Y61" s="5">
        <f t="shared" si="5"/>
        <v>0</v>
      </c>
      <c r="AE61" s="5">
        <f t="shared" si="6"/>
        <v>0</v>
      </c>
      <c r="AN61" s="8">
        <f t="shared" si="3"/>
        <v>0</v>
      </c>
      <c r="AO61" s="11" t="s">
        <v>226</v>
      </c>
    </row>
    <row r="62" spans="1:41" ht="15" customHeight="1">
      <c r="A62" s="2">
        <v>58</v>
      </c>
      <c r="B62" s="21" t="s">
        <v>106</v>
      </c>
      <c r="C62" s="21"/>
      <c r="D62" s="21" t="s">
        <v>107</v>
      </c>
      <c r="E62" s="21"/>
      <c r="F62" s="21"/>
      <c r="G62" s="21"/>
      <c r="H62">
        <v>1</v>
      </c>
      <c r="J62">
        <v>1</v>
      </c>
      <c r="K62">
        <v>1</v>
      </c>
      <c r="L62">
        <v>1</v>
      </c>
      <c r="M62">
        <v>1</v>
      </c>
      <c r="N62">
        <v>1</v>
      </c>
      <c r="P62">
        <v>1</v>
      </c>
      <c r="Q62">
        <v>1</v>
      </c>
      <c r="R62">
        <v>1</v>
      </c>
      <c r="S62">
        <v>1</v>
      </c>
      <c r="U62" s="9">
        <v>1</v>
      </c>
      <c r="V62" s="9">
        <v>1</v>
      </c>
      <c r="W62">
        <v>10</v>
      </c>
      <c r="X62" s="10">
        <f t="shared" si="2"/>
        <v>12</v>
      </c>
      <c r="Y62" s="5">
        <f t="shared" si="5"/>
        <v>18.5</v>
      </c>
      <c r="Z62">
        <v>3</v>
      </c>
      <c r="AA62">
        <v>2.5</v>
      </c>
      <c r="AB62">
        <v>3</v>
      </c>
      <c r="AC62">
        <v>3</v>
      </c>
      <c r="AD62">
        <v>7</v>
      </c>
      <c r="AE62" s="5">
        <f t="shared" si="6"/>
        <v>18</v>
      </c>
      <c r="AF62" s="7">
        <v>2.5</v>
      </c>
      <c r="AG62" s="7">
        <v>4</v>
      </c>
      <c r="AH62" s="7">
        <v>4</v>
      </c>
      <c r="AI62" s="7">
        <v>4</v>
      </c>
      <c r="AJ62" s="7">
        <v>3.5</v>
      </c>
      <c r="AK62" t="s">
        <v>207</v>
      </c>
      <c r="AL62">
        <f>7+1+3+2+0+1+1</f>
        <v>15</v>
      </c>
      <c r="AM62">
        <f>2+1+0+4+2+4</f>
        <v>13</v>
      </c>
      <c r="AN62" s="8">
        <f t="shared" si="3"/>
        <v>76.5</v>
      </c>
      <c r="AO62" s="11" t="s">
        <v>219</v>
      </c>
    </row>
    <row r="63" spans="1:41" ht="15" customHeight="1">
      <c r="A63" s="2">
        <v>59</v>
      </c>
      <c r="B63" s="21" t="s">
        <v>108</v>
      </c>
      <c r="C63" s="21"/>
      <c r="D63" s="21" t="s">
        <v>109</v>
      </c>
      <c r="E63" s="21"/>
      <c r="F63" s="21"/>
      <c r="G63" s="21"/>
      <c r="H63">
        <v>0</v>
      </c>
      <c r="I63">
        <v>0</v>
      </c>
      <c r="J63">
        <v>0</v>
      </c>
      <c r="K63">
        <v>0</v>
      </c>
      <c r="M63">
        <v>1</v>
      </c>
      <c r="N63">
        <v>1</v>
      </c>
      <c r="P63">
        <v>0</v>
      </c>
      <c r="Q63">
        <v>0</v>
      </c>
      <c r="R63">
        <v>0</v>
      </c>
      <c r="S63">
        <v>0</v>
      </c>
      <c r="T63">
        <v>0</v>
      </c>
      <c r="U63" s="9">
        <v>0</v>
      </c>
      <c r="V63" s="9"/>
      <c r="W63">
        <v>2</v>
      </c>
      <c r="X63" s="10">
        <f t="shared" si="2"/>
        <v>2</v>
      </c>
      <c r="Y63" s="5">
        <f t="shared" si="5"/>
        <v>14.5</v>
      </c>
      <c r="Z63">
        <v>4</v>
      </c>
      <c r="AA63">
        <v>3.5</v>
      </c>
      <c r="AB63">
        <v>4</v>
      </c>
      <c r="AC63">
        <v>3</v>
      </c>
      <c r="AD63">
        <v>0</v>
      </c>
      <c r="AE63" s="5">
        <f t="shared" si="6"/>
        <v>18.5</v>
      </c>
      <c r="AF63">
        <v>3.5</v>
      </c>
      <c r="AG63">
        <v>4</v>
      </c>
      <c r="AH63">
        <v>3</v>
      </c>
      <c r="AI63">
        <v>4</v>
      </c>
      <c r="AJ63">
        <v>4</v>
      </c>
      <c r="AK63" t="s">
        <v>207</v>
      </c>
      <c r="AL63">
        <f>7+0+3+1+1+2+2</f>
        <v>16</v>
      </c>
      <c r="AM63">
        <f>5+3+5+4+0+0</f>
        <v>17</v>
      </c>
      <c r="AN63" s="8">
        <f t="shared" si="3"/>
        <v>68</v>
      </c>
      <c r="AO63" s="11" t="s">
        <v>221</v>
      </c>
    </row>
    <row r="64" spans="1:41" ht="15" customHeight="1">
      <c r="A64" s="2">
        <v>60</v>
      </c>
      <c r="B64" s="21" t="s">
        <v>110</v>
      </c>
      <c r="C64" s="21"/>
      <c r="D64" s="21" t="s">
        <v>111</v>
      </c>
      <c r="E64" s="21"/>
      <c r="F64" s="21"/>
      <c r="G64" s="21"/>
      <c r="K64">
        <v>0</v>
      </c>
      <c r="L64">
        <v>0</v>
      </c>
      <c r="M64">
        <v>1</v>
      </c>
      <c r="Q64">
        <v>0</v>
      </c>
      <c r="R64">
        <v>0</v>
      </c>
      <c r="S64">
        <v>0</v>
      </c>
      <c r="T64">
        <v>0</v>
      </c>
      <c r="U64" s="9"/>
      <c r="V64" s="9"/>
      <c r="W64">
        <v>1</v>
      </c>
      <c r="X64" s="10">
        <f t="shared" si="2"/>
        <v>1</v>
      </c>
      <c r="Y64" s="5">
        <f t="shared" si="5"/>
        <v>15</v>
      </c>
      <c r="Z64">
        <v>1.5</v>
      </c>
      <c r="AA64">
        <v>2.5</v>
      </c>
      <c r="AB64">
        <v>3</v>
      </c>
      <c r="AC64">
        <v>2</v>
      </c>
      <c r="AD64">
        <v>6</v>
      </c>
      <c r="AE64" s="5">
        <f t="shared" si="6"/>
        <v>17</v>
      </c>
      <c r="AF64">
        <v>3</v>
      </c>
      <c r="AG64">
        <v>2.5</v>
      </c>
      <c r="AH64">
        <v>4</v>
      </c>
      <c r="AI64">
        <v>4</v>
      </c>
      <c r="AJ64">
        <v>3.5</v>
      </c>
      <c r="AK64" t="s">
        <v>207</v>
      </c>
      <c r="AL64">
        <f>4+2+1+2+2+4+2</f>
        <v>17</v>
      </c>
      <c r="AM64">
        <f>5+4.5+3+1+0+3</f>
        <v>16.5</v>
      </c>
      <c r="AN64" s="8">
        <f t="shared" si="3"/>
        <v>66.5</v>
      </c>
      <c r="AO64" s="11" t="s">
        <v>221</v>
      </c>
    </row>
    <row r="65" spans="1:42" ht="15" customHeight="1">
      <c r="A65" s="2">
        <v>61</v>
      </c>
      <c r="B65" s="21" t="s">
        <v>112</v>
      </c>
      <c r="C65" s="21"/>
      <c r="D65" s="21" t="s">
        <v>113</v>
      </c>
      <c r="E65" s="21"/>
      <c r="F65" s="21"/>
      <c r="G65" s="21"/>
      <c r="H65">
        <v>0</v>
      </c>
      <c r="J65">
        <v>0</v>
      </c>
      <c r="L65">
        <v>0</v>
      </c>
      <c r="O65">
        <v>0</v>
      </c>
      <c r="P65">
        <v>0</v>
      </c>
      <c r="Q65">
        <v>0</v>
      </c>
      <c r="R65">
        <v>0</v>
      </c>
      <c r="S65">
        <v>0</v>
      </c>
      <c r="U65" s="9">
        <v>0</v>
      </c>
      <c r="V65" s="9"/>
      <c r="W65">
        <v>0</v>
      </c>
      <c r="X65" s="10">
        <f t="shared" si="2"/>
        <v>0</v>
      </c>
      <c r="Y65" s="5">
        <f t="shared" si="5"/>
        <v>7.5</v>
      </c>
      <c r="Z65" s="12">
        <v>3</v>
      </c>
      <c r="AA65" s="12">
        <v>0.5</v>
      </c>
      <c r="AB65" s="12">
        <v>1.5</v>
      </c>
      <c r="AC65" s="12">
        <v>2</v>
      </c>
      <c r="AD65" s="12">
        <v>0.5</v>
      </c>
      <c r="AE65" s="5">
        <f t="shared" si="6"/>
        <v>5.5</v>
      </c>
      <c r="AF65" s="7">
        <v>2</v>
      </c>
      <c r="AG65" s="7">
        <v>0</v>
      </c>
      <c r="AH65" s="7">
        <v>2.5</v>
      </c>
      <c r="AI65" s="7">
        <v>1</v>
      </c>
      <c r="AJ65" s="7">
        <v>0</v>
      </c>
      <c r="AK65" t="s">
        <v>220</v>
      </c>
      <c r="AN65" s="8">
        <f t="shared" si="3"/>
        <v>13</v>
      </c>
      <c r="AO65" s="11" t="s">
        <v>225</v>
      </c>
      <c r="AP65" s="18" t="s">
        <v>223</v>
      </c>
    </row>
    <row r="66" spans="1:41" ht="15" customHeight="1">
      <c r="A66" s="2">
        <v>62</v>
      </c>
      <c r="B66" s="21" t="s">
        <v>114</v>
      </c>
      <c r="C66" s="21"/>
      <c r="D66" s="21" t="s">
        <v>115</v>
      </c>
      <c r="E66" s="21"/>
      <c r="F66" s="21"/>
      <c r="G66" s="21"/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0</v>
      </c>
      <c r="O66">
        <v>1</v>
      </c>
      <c r="P66">
        <v>0</v>
      </c>
      <c r="Q66">
        <v>0</v>
      </c>
      <c r="R66">
        <v>1</v>
      </c>
      <c r="S66">
        <v>1</v>
      </c>
      <c r="T66">
        <v>1</v>
      </c>
      <c r="U66" s="9"/>
      <c r="V66" s="9"/>
      <c r="W66">
        <v>10</v>
      </c>
      <c r="X66" s="10">
        <f t="shared" si="2"/>
        <v>10</v>
      </c>
      <c r="Y66" s="5">
        <f t="shared" si="5"/>
        <v>19.5</v>
      </c>
      <c r="Z66">
        <v>3</v>
      </c>
      <c r="AA66">
        <v>3</v>
      </c>
      <c r="AB66">
        <v>3</v>
      </c>
      <c r="AC66">
        <v>3</v>
      </c>
      <c r="AD66">
        <v>7.5</v>
      </c>
      <c r="AE66" s="5">
        <f t="shared" si="6"/>
        <v>19</v>
      </c>
      <c r="AF66" s="7">
        <v>3.5</v>
      </c>
      <c r="AG66" s="7">
        <v>3.5</v>
      </c>
      <c r="AH66" s="7">
        <v>4</v>
      </c>
      <c r="AI66" s="7">
        <v>4</v>
      </c>
      <c r="AJ66" s="7">
        <v>4</v>
      </c>
      <c r="AK66" t="s">
        <v>207</v>
      </c>
      <c r="AL66">
        <f>6+1+5+4+2+3</f>
        <v>21</v>
      </c>
      <c r="AM66">
        <f>5+4+5+5+1.5+1</f>
        <v>21.5</v>
      </c>
      <c r="AN66" s="8">
        <f t="shared" si="3"/>
        <v>91</v>
      </c>
      <c r="AO66" s="11" t="s">
        <v>218</v>
      </c>
    </row>
    <row r="67" spans="1:41" ht="15" customHeight="1">
      <c r="A67" s="2">
        <v>63</v>
      </c>
      <c r="B67" s="21" t="s">
        <v>116</v>
      </c>
      <c r="C67" s="21"/>
      <c r="D67" s="21" t="s">
        <v>117</v>
      </c>
      <c r="E67" s="21"/>
      <c r="F67" s="21"/>
      <c r="G67" s="21"/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P67">
        <v>0</v>
      </c>
      <c r="Q67">
        <v>0</v>
      </c>
      <c r="R67">
        <v>1</v>
      </c>
      <c r="U67" s="9"/>
      <c r="V67" s="9">
        <v>0</v>
      </c>
      <c r="W67">
        <v>1</v>
      </c>
      <c r="X67" s="10">
        <f t="shared" si="2"/>
        <v>1</v>
      </c>
      <c r="Y67" s="5">
        <f t="shared" si="5"/>
        <v>12</v>
      </c>
      <c r="Z67">
        <v>2</v>
      </c>
      <c r="AA67">
        <v>0</v>
      </c>
      <c r="AB67">
        <v>3</v>
      </c>
      <c r="AC67">
        <v>3</v>
      </c>
      <c r="AD67">
        <v>4</v>
      </c>
      <c r="AE67" s="5">
        <f t="shared" si="6"/>
        <v>15.5</v>
      </c>
      <c r="AF67" s="7">
        <v>2</v>
      </c>
      <c r="AG67" s="7">
        <v>3</v>
      </c>
      <c r="AH67" s="7">
        <v>4</v>
      </c>
      <c r="AI67" s="7">
        <v>3.5</v>
      </c>
      <c r="AJ67" s="7">
        <v>3</v>
      </c>
      <c r="AK67" t="s">
        <v>207</v>
      </c>
      <c r="AL67">
        <f>6+1+3+2+0+2+4</f>
        <v>18</v>
      </c>
      <c r="AM67">
        <f>0+1+3+1+0+2</f>
        <v>7</v>
      </c>
      <c r="AN67" s="8">
        <f t="shared" si="3"/>
        <v>53.5</v>
      </c>
      <c r="AO67" s="11" t="s">
        <v>223</v>
      </c>
    </row>
    <row r="68" spans="1:41" ht="15" customHeight="1">
      <c r="A68" s="2">
        <v>64</v>
      </c>
      <c r="B68" s="21" t="s">
        <v>118</v>
      </c>
      <c r="C68" s="21"/>
      <c r="D68" s="21" t="s">
        <v>119</v>
      </c>
      <c r="E68" s="21"/>
      <c r="F68" s="21"/>
      <c r="G68" s="21"/>
      <c r="H68">
        <v>1</v>
      </c>
      <c r="J68">
        <v>0</v>
      </c>
      <c r="K68">
        <v>1</v>
      </c>
      <c r="L68">
        <v>1</v>
      </c>
      <c r="M68">
        <v>0</v>
      </c>
      <c r="N68">
        <v>1</v>
      </c>
      <c r="O68">
        <v>1</v>
      </c>
      <c r="Q68">
        <v>1</v>
      </c>
      <c r="R68">
        <v>0</v>
      </c>
      <c r="S68">
        <v>1</v>
      </c>
      <c r="T68">
        <v>1</v>
      </c>
      <c r="U68" s="9">
        <v>1</v>
      </c>
      <c r="V68" s="9">
        <v>1</v>
      </c>
      <c r="W68">
        <v>8</v>
      </c>
      <c r="X68" s="10">
        <f t="shared" si="2"/>
        <v>10</v>
      </c>
      <c r="Y68" s="5">
        <f t="shared" si="5"/>
        <v>16</v>
      </c>
      <c r="Z68" s="12">
        <v>3.5</v>
      </c>
      <c r="AA68" s="12">
        <v>3.5</v>
      </c>
      <c r="AB68" s="12">
        <v>4</v>
      </c>
      <c r="AC68" s="12">
        <v>2</v>
      </c>
      <c r="AD68" s="12">
        <v>3</v>
      </c>
      <c r="AE68" s="5">
        <f t="shared" si="6"/>
        <v>12.5</v>
      </c>
      <c r="AF68">
        <v>1</v>
      </c>
      <c r="AG68">
        <v>4</v>
      </c>
      <c r="AH68">
        <v>3.5</v>
      </c>
      <c r="AI68">
        <v>0.5</v>
      </c>
      <c r="AJ68">
        <v>3.5</v>
      </c>
      <c r="AK68" t="s">
        <v>207</v>
      </c>
      <c r="AL68">
        <f>6+0+4+2+2+4+2.5</f>
        <v>20.5</v>
      </c>
      <c r="AM68">
        <f>5+4+5+5+0+3</f>
        <v>22</v>
      </c>
      <c r="AN68" s="8">
        <f t="shared" si="3"/>
        <v>81</v>
      </c>
      <c r="AO68" s="11" t="s">
        <v>222</v>
      </c>
    </row>
    <row r="69" spans="1:41" ht="15" customHeight="1">
      <c r="A69" s="2">
        <v>65</v>
      </c>
      <c r="B69" s="21" t="s">
        <v>120</v>
      </c>
      <c r="C69" s="21"/>
      <c r="D69" s="21" t="s">
        <v>121</v>
      </c>
      <c r="E69" s="21"/>
      <c r="F69" s="21"/>
      <c r="G69" s="21"/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Q69">
        <v>0</v>
      </c>
      <c r="R69">
        <v>0</v>
      </c>
      <c r="T69">
        <v>0</v>
      </c>
      <c r="U69" s="9">
        <v>2</v>
      </c>
      <c r="V69" s="9">
        <v>4</v>
      </c>
      <c r="W69">
        <v>0</v>
      </c>
      <c r="X69" s="10">
        <f t="shared" si="2"/>
        <v>6</v>
      </c>
      <c r="Y69" s="5">
        <f t="shared" si="5"/>
        <v>13</v>
      </c>
      <c r="Z69">
        <v>2</v>
      </c>
      <c r="AA69">
        <v>0.5</v>
      </c>
      <c r="AB69">
        <v>0</v>
      </c>
      <c r="AC69">
        <v>3</v>
      </c>
      <c r="AD69">
        <v>7.5</v>
      </c>
      <c r="AE69" s="5">
        <f t="shared" si="6"/>
        <v>14.5</v>
      </c>
      <c r="AF69" s="7">
        <v>3.5</v>
      </c>
      <c r="AG69" s="7">
        <v>3</v>
      </c>
      <c r="AH69" s="7">
        <v>4</v>
      </c>
      <c r="AI69" s="7">
        <v>0.5</v>
      </c>
      <c r="AJ69" s="7">
        <v>3.5</v>
      </c>
      <c r="AK69" t="s">
        <v>207</v>
      </c>
      <c r="AL69">
        <f>6+1+2+2+2+3+0</f>
        <v>16</v>
      </c>
      <c r="AM69">
        <f>5+0+0+1+3+0</f>
        <v>9</v>
      </c>
      <c r="AN69" s="8">
        <f t="shared" si="3"/>
        <v>58.5</v>
      </c>
      <c r="AO69" s="11" t="s">
        <v>223</v>
      </c>
    </row>
    <row r="70" spans="1:41" ht="15" customHeight="1">
      <c r="A70" s="2">
        <v>66</v>
      </c>
      <c r="B70" s="21" t="s">
        <v>122</v>
      </c>
      <c r="C70" s="21"/>
      <c r="D70" s="21" t="s">
        <v>123</v>
      </c>
      <c r="E70" s="21"/>
      <c r="F70" s="21"/>
      <c r="G70" s="21"/>
      <c r="U70" s="9"/>
      <c r="V70" s="9"/>
      <c r="W70">
        <v>0</v>
      </c>
      <c r="X70" s="10">
        <f aca="true" t="shared" si="7" ref="X70:X96">U70+V70+W70</f>
        <v>0</v>
      </c>
      <c r="Y70" s="5">
        <f t="shared" si="5"/>
        <v>0</v>
      </c>
      <c r="AE70" s="5">
        <f t="shared" si="6"/>
        <v>0</v>
      </c>
      <c r="AN70" s="8">
        <f aca="true" t="shared" si="8" ref="AN70:AN96">X70+Y70+AE70+AL70+AM70</f>
        <v>0</v>
      </c>
      <c r="AO70" s="11" t="s">
        <v>226</v>
      </c>
    </row>
    <row r="71" spans="1:41" ht="15" customHeight="1">
      <c r="A71" s="2">
        <v>67</v>
      </c>
      <c r="B71" s="21" t="s">
        <v>124</v>
      </c>
      <c r="C71" s="21"/>
      <c r="D71" s="21" t="s">
        <v>125</v>
      </c>
      <c r="E71" s="21"/>
      <c r="F71" s="21"/>
      <c r="G71" s="21"/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 s="9"/>
      <c r="V71" s="9"/>
      <c r="W71">
        <v>10</v>
      </c>
      <c r="X71" s="10">
        <f t="shared" si="7"/>
        <v>10</v>
      </c>
      <c r="Y71" s="5">
        <f t="shared" si="5"/>
        <v>20</v>
      </c>
      <c r="Z71">
        <v>3</v>
      </c>
      <c r="AA71">
        <v>3</v>
      </c>
      <c r="AB71">
        <v>3</v>
      </c>
      <c r="AC71">
        <v>3</v>
      </c>
      <c r="AD71">
        <v>8</v>
      </c>
      <c r="AE71" s="5">
        <f t="shared" si="6"/>
        <v>19</v>
      </c>
      <c r="AF71" s="7">
        <v>4</v>
      </c>
      <c r="AG71" s="7">
        <v>4</v>
      </c>
      <c r="AH71" s="7">
        <v>4</v>
      </c>
      <c r="AI71" s="7">
        <v>4</v>
      </c>
      <c r="AJ71" s="7">
        <v>3</v>
      </c>
      <c r="AK71" t="s">
        <v>207</v>
      </c>
      <c r="AL71">
        <v>28</v>
      </c>
      <c r="AM71">
        <v>28</v>
      </c>
      <c r="AN71" s="8">
        <f t="shared" si="8"/>
        <v>105</v>
      </c>
      <c r="AO71" s="11" t="s">
        <v>218</v>
      </c>
    </row>
    <row r="72" spans="1:41" ht="15" customHeight="1">
      <c r="A72" s="2">
        <v>68</v>
      </c>
      <c r="B72" s="21" t="s">
        <v>126</v>
      </c>
      <c r="C72" s="21"/>
      <c r="D72" s="21" t="s">
        <v>127</v>
      </c>
      <c r="E72" s="21"/>
      <c r="F72" s="21"/>
      <c r="G72" s="21"/>
      <c r="H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 s="9">
        <v>1</v>
      </c>
      <c r="V72" s="9">
        <v>0</v>
      </c>
      <c r="W72">
        <v>10</v>
      </c>
      <c r="X72" s="10">
        <f t="shared" si="7"/>
        <v>11</v>
      </c>
      <c r="Y72" s="5">
        <f t="shared" si="5"/>
        <v>18</v>
      </c>
      <c r="Z72">
        <v>2.5</v>
      </c>
      <c r="AA72">
        <v>3</v>
      </c>
      <c r="AB72">
        <v>2</v>
      </c>
      <c r="AC72">
        <v>2.5</v>
      </c>
      <c r="AD72">
        <v>8</v>
      </c>
      <c r="AE72" s="5">
        <f aca="true" t="shared" si="9" ref="AE72:AE81">SUM(AF72:AJ72)</f>
        <v>17.5</v>
      </c>
      <c r="AF72" s="12">
        <v>4</v>
      </c>
      <c r="AG72" s="12">
        <v>3.5</v>
      </c>
      <c r="AH72" s="12">
        <v>4</v>
      </c>
      <c r="AI72" s="12">
        <v>2.5</v>
      </c>
      <c r="AJ72" s="12">
        <v>3.5</v>
      </c>
      <c r="AK72" t="s">
        <v>207</v>
      </c>
      <c r="AL72">
        <f>5+1+7+3+2+2+1</f>
        <v>21</v>
      </c>
      <c r="AM72">
        <f>5+4.5+2+5+1+4</f>
        <v>21.5</v>
      </c>
      <c r="AN72" s="8">
        <f t="shared" si="8"/>
        <v>89</v>
      </c>
      <c r="AO72" s="11" t="s">
        <v>222</v>
      </c>
    </row>
    <row r="73" spans="1:41" ht="15" customHeight="1">
      <c r="A73" s="2">
        <v>69</v>
      </c>
      <c r="B73" s="21" t="s">
        <v>128</v>
      </c>
      <c r="C73" s="21"/>
      <c r="D73" s="21" t="s">
        <v>129</v>
      </c>
      <c r="E73" s="21"/>
      <c r="F73" s="21"/>
      <c r="G73" s="21"/>
      <c r="H73">
        <v>1</v>
      </c>
      <c r="I73">
        <v>1</v>
      </c>
      <c r="J73">
        <v>1</v>
      </c>
      <c r="K73">
        <v>0</v>
      </c>
      <c r="L73">
        <v>1</v>
      </c>
      <c r="M73">
        <v>1</v>
      </c>
      <c r="N73">
        <v>1</v>
      </c>
      <c r="O73">
        <v>1</v>
      </c>
      <c r="Q73">
        <v>1</v>
      </c>
      <c r="R73">
        <v>1</v>
      </c>
      <c r="U73" s="9"/>
      <c r="V73" s="9">
        <v>3</v>
      </c>
      <c r="W73">
        <v>9</v>
      </c>
      <c r="X73" s="10">
        <f t="shared" si="7"/>
        <v>12</v>
      </c>
      <c r="Y73" s="5">
        <f t="shared" si="5"/>
        <v>12.5</v>
      </c>
      <c r="Z73">
        <v>1</v>
      </c>
      <c r="AA73">
        <v>1.5</v>
      </c>
      <c r="AB73">
        <v>2.5</v>
      </c>
      <c r="AC73">
        <v>2.5</v>
      </c>
      <c r="AD73">
        <v>5</v>
      </c>
      <c r="AE73" s="5">
        <f t="shared" si="9"/>
        <v>15</v>
      </c>
      <c r="AF73">
        <v>4</v>
      </c>
      <c r="AG73">
        <v>3.5</v>
      </c>
      <c r="AH73">
        <v>2</v>
      </c>
      <c r="AI73">
        <v>2.5</v>
      </c>
      <c r="AJ73">
        <v>3</v>
      </c>
      <c r="AK73" t="s">
        <v>207</v>
      </c>
      <c r="AL73">
        <f>5+0+3+2+2+2+0</f>
        <v>14</v>
      </c>
      <c r="AM73">
        <f>5+1+2+1+1+2</f>
        <v>12</v>
      </c>
      <c r="AN73" s="8">
        <f t="shared" si="8"/>
        <v>65.5</v>
      </c>
      <c r="AO73" s="11" t="s">
        <v>221</v>
      </c>
    </row>
    <row r="74" spans="1:41" ht="15" customHeight="1">
      <c r="A74" s="2">
        <v>70</v>
      </c>
      <c r="B74" s="21" t="s">
        <v>130</v>
      </c>
      <c r="C74" s="21"/>
      <c r="D74" s="21" t="s">
        <v>131</v>
      </c>
      <c r="E74" s="21"/>
      <c r="F74" s="21"/>
      <c r="G74" s="21"/>
      <c r="H74">
        <v>1</v>
      </c>
      <c r="I74">
        <v>1</v>
      </c>
      <c r="L74">
        <v>0</v>
      </c>
      <c r="M74">
        <v>0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 s="9"/>
      <c r="V74" s="9">
        <v>3</v>
      </c>
      <c r="W74">
        <v>9</v>
      </c>
      <c r="X74" s="10">
        <f t="shared" si="7"/>
        <v>12</v>
      </c>
      <c r="Y74" s="5">
        <f t="shared" si="5"/>
        <v>14.5</v>
      </c>
      <c r="Z74">
        <v>2</v>
      </c>
      <c r="AA74">
        <v>0.5</v>
      </c>
      <c r="AB74">
        <v>2.5</v>
      </c>
      <c r="AC74">
        <v>2</v>
      </c>
      <c r="AD74">
        <v>7.5</v>
      </c>
      <c r="AE74" s="5">
        <f t="shared" si="9"/>
        <v>14.5</v>
      </c>
      <c r="AF74">
        <v>2</v>
      </c>
      <c r="AG74">
        <v>3.5</v>
      </c>
      <c r="AH74">
        <v>4</v>
      </c>
      <c r="AI74">
        <v>2</v>
      </c>
      <c r="AJ74">
        <v>3</v>
      </c>
      <c r="AK74" t="s">
        <v>207</v>
      </c>
      <c r="AL74">
        <f>5+2+3+3+2+4+0</f>
        <v>19</v>
      </c>
      <c r="AM74">
        <f>5+2+2+1+1+2</f>
        <v>13</v>
      </c>
      <c r="AN74" s="8">
        <f t="shared" si="8"/>
        <v>73</v>
      </c>
      <c r="AO74" s="11" t="s">
        <v>219</v>
      </c>
    </row>
    <row r="75" spans="1:41" ht="15" customHeight="1">
      <c r="A75" s="2">
        <v>71</v>
      </c>
      <c r="B75" s="21" t="s">
        <v>132</v>
      </c>
      <c r="C75" s="21"/>
      <c r="D75" s="21" t="s">
        <v>133</v>
      </c>
      <c r="E75" s="21"/>
      <c r="F75" s="21"/>
      <c r="G75" s="21"/>
      <c r="H75">
        <v>0</v>
      </c>
      <c r="I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T75">
        <v>0</v>
      </c>
      <c r="U75" s="9"/>
      <c r="V75" s="9">
        <v>2</v>
      </c>
      <c r="W75">
        <v>0</v>
      </c>
      <c r="X75" s="10">
        <f t="shared" si="7"/>
        <v>2</v>
      </c>
      <c r="Y75" s="5">
        <f t="shared" si="5"/>
        <v>17.5</v>
      </c>
      <c r="Z75">
        <v>2.5</v>
      </c>
      <c r="AA75">
        <v>2</v>
      </c>
      <c r="AB75">
        <v>3</v>
      </c>
      <c r="AC75">
        <v>2</v>
      </c>
      <c r="AD75">
        <v>8</v>
      </c>
      <c r="AE75" s="5">
        <f t="shared" si="9"/>
        <v>12.5</v>
      </c>
      <c r="AF75">
        <v>1.5</v>
      </c>
      <c r="AG75">
        <v>3.5</v>
      </c>
      <c r="AH75">
        <v>4</v>
      </c>
      <c r="AI75">
        <v>3.5</v>
      </c>
      <c r="AJ75">
        <v>0</v>
      </c>
      <c r="AK75" t="s">
        <v>207</v>
      </c>
      <c r="AL75">
        <f>6.5+1+2+1+0+3+3</f>
        <v>16.5</v>
      </c>
      <c r="AM75">
        <f>2+0+2+3+1+5</f>
        <v>13</v>
      </c>
      <c r="AN75" s="8">
        <f t="shared" si="8"/>
        <v>61.5</v>
      </c>
      <c r="AO75" s="11" t="s">
        <v>221</v>
      </c>
    </row>
    <row r="76" spans="1:42" ht="15" customHeight="1">
      <c r="A76" s="2">
        <v>72</v>
      </c>
      <c r="B76" s="21" t="s">
        <v>134</v>
      </c>
      <c r="C76" s="21"/>
      <c r="D76" s="21" t="s">
        <v>135</v>
      </c>
      <c r="E76" s="21"/>
      <c r="F76" s="21"/>
      <c r="G76" s="21"/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9"/>
      <c r="V76" s="9"/>
      <c r="W76">
        <v>0</v>
      </c>
      <c r="X76" s="10">
        <f t="shared" si="7"/>
        <v>0</v>
      </c>
      <c r="Y76" s="5">
        <f t="shared" si="5"/>
        <v>16</v>
      </c>
      <c r="Z76">
        <v>3</v>
      </c>
      <c r="AA76">
        <v>2</v>
      </c>
      <c r="AB76">
        <v>0</v>
      </c>
      <c r="AC76">
        <v>3</v>
      </c>
      <c r="AD76">
        <v>8</v>
      </c>
      <c r="AE76" s="5">
        <f t="shared" si="9"/>
        <v>14.5</v>
      </c>
      <c r="AF76" s="7">
        <v>3.5</v>
      </c>
      <c r="AG76" s="7">
        <v>3</v>
      </c>
      <c r="AH76" s="7">
        <v>3.5</v>
      </c>
      <c r="AI76" s="7">
        <v>3</v>
      </c>
      <c r="AJ76" s="7">
        <v>1.5</v>
      </c>
      <c r="AK76" t="s">
        <v>207</v>
      </c>
      <c r="AL76">
        <f>2+2+2+3+0+0+0</f>
        <v>9</v>
      </c>
      <c r="AM76">
        <f>1+4+0+1+1+0</f>
        <v>7</v>
      </c>
      <c r="AN76" s="8">
        <f t="shared" si="8"/>
        <v>46.5</v>
      </c>
      <c r="AO76" s="11" t="s">
        <v>225</v>
      </c>
      <c r="AP76" s="18" t="s">
        <v>219</v>
      </c>
    </row>
    <row r="77" spans="1:42" ht="15" customHeight="1">
      <c r="A77" s="2">
        <v>73</v>
      </c>
      <c r="B77" s="21" t="s">
        <v>136</v>
      </c>
      <c r="C77" s="21"/>
      <c r="D77" s="21" t="s">
        <v>137</v>
      </c>
      <c r="E77" s="21"/>
      <c r="F77" s="21"/>
      <c r="G77" s="21"/>
      <c r="H77">
        <v>0</v>
      </c>
      <c r="I77">
        <v>0</v>
      </c>
      <c r="J77">
        <v>0</v>
      </c>
      <c r="K77">
        <v>0</v>
      </c>
      <c r="L77">
        <v>0</v>
      </c>
      <c r="N77">
        <v>0</v>
      </c>
      <c r="P77">
        <v>0</v>
      </c>
      <c r="Q77">
        <v>0</v>
      </c>
      <c r="S77">
        <v>0</v>
      </c>
      <c r="T77">
        <v>0</v>
      </c>
      <c r="U77" s="9"/>
      <c r="V77" s="9"/>
      <c r="W77">
        <v>0</v>
      </c>
      <c r="X77" s="10">
        <f t="shared" si="7"/>
        <v>0</v>
      </c>
      <c r="Y77" s="5">
        <f t="shared" si="5"/>
        <v>7.5</v>
      </c>
      <c r="Z77">
        <v>0.5</v>
      </c>
      <c r="AA77">
        <v>1.5</v>
      </c>
      <c r="AB77">
        <v>0</v>
      </c>
      <c r="AC77">
        <v>2.5</v>
      </c>
      <c r="AD77">
        <v>3</v>
      </c>
      <c r="AE77" s="5">
        <f t="shared" si="9"/>
        <v>12</v>
      </c>
      <c r="AF77" s="7">
        <v>4</v>
      </c>
      <c r="AG77" s="7">
        <v>2.5</v>
      </c>
      <c r="AH77" s="7">
        <v>2</v>
      </c>
      <c r="AI77" s="7">
        <v>1.5</v>
      </c>
      <c r="AJ77" s="7">
        <v>2</v>
      </c>
      <c r="AK77" t="s">
        <v>207</v>
      </c>
      <c r="AL77">
        <f>5+2+0+0+2+0+3</f>
        <v>12</v>
      </c>
      <c r="AM77">
        <f>3+0+2+1+0+5</f>
        <v>11</v>
      </c>
      <c r="AN77" s="8">
        <f t="shared" si="8"/>
        <v>42.5</v>
      </c>
      <c r="AO77" s="11" t="s">
        <v>225</v>
      </c>
      <c r="AP77" s="18" t="s">
        <v>219</v>
      </c>
    </row>
    <row r="78" spans="1:41" ht="15" customHeight="1">
      <c r="A78" s="2">
        <v>74</v>
      </c>
      <c r="B78" s="1" t="s">
        <v>186</v>
      </c>
      <c r="C78" s="1"/>
      <c r="D78" s="24" t="s">
        <v>185</v>
      </c>
      <c r="E78" s="24"/>
      <c r="F78" s="24"/>
      <c r="G78" s="1"/>
      <c r="H78">
        <v>1</v>
      </c>
      <c r="J78">
        <v>0</v>
      </c>
      <c r="N78">
        <v>0</v>
      </c>
      <c r="O78">
        <v>0</v>
      </c>
      <c r="P78">
        <v>0</v>
      </c>
      <c r="Q78">
        <v>0</v>
      </c>
      <c r="S78">
        <v>1</v>
      </c>
      <c r="T78">
        <v>0</v>
      </c>
      <c r="U78" s="9"/>
      <c r="V78" s="9"/>
      <c r="W78">
        <v>2</v>
      </c>
      <c r="X78" s="10">
        <f t="shared" si="7"/>
        <v>2</v>
      </c>
      <c r="Y78" s="5">
        <f t="shared" si="5"/>
        <v>9</v>
      </c>
      <c r="Z78">
        <v>4</v>
      </c>
      <c r="AA78">
        <v>0</v>
      </c>
      <c r="AB78">
        <v>2.5</v>
      </c>
      <c r="AC78">
        <v>2.5</v>
      </c>
      <c r="AD78">
        <v>0</v>
      </c>
      <c r="AE78" s="5">
        <f t="shared" si="9"/>
        <v>13.5</v>
      </c>
      <c r="AF78" s="13">
        <v>3</v>
      </c>
      <c r="AG78" s="12">
        <v>3</v>
      </c>
      <c r="AH78" s="12">
        <v>2</v>
      </c>
      <c r="AI78" s="12">
        <v>3.5</v>
      </c>
      <c r="AJ78" s="12">
        <v>2</v>
      </c>
      <c r="AK78" t="s">
        <v>207</v>
      </c>
      <c r="AL78">
        <f>5+2+3+0+2+2+2</f>
        <v>16</v>
      </c>
      <c r="AM78">
        <f>3+0+0+4+0+5</f>
        <v>12</v>
      </c>
      <c r="AN78" s="8">
        <f t="shared" si="8"/>
        <v>52.5</v>
      </c>
      <c r="AO78" s="11" t="s">
        <v>223</v>
      </c>
    </row>
    <row r="79" spans="1:41" ht="15" customHeight="1">
      <c r="A79" s="2">
        <v>75</v>
      </c>
      <c r="B79" s="21" t="s">
        <v>138</v>
      </c>
      <c r="C79" s="21"/>
      <c r="D79" s="21" t="s">
        <v>139</v>
      </c>
      <c r="E79" s="21"/>
      <c r="F79" s="21"/>
      <c r="G79" s="21"/>
      <c r="U79" s="9"/>
      <c r="V79" s="9"/>
      <c r="W79">
        <v>0</v>
      </c>
      <c r="X79" s="10">
        <f t="shared" si="7"/>
        <v>0</v>
      </c>
      <c r="Y79" s="5">
        <f t="shared" si="5"/>
        <v>0</v>
      </c>
      <c r="AE79" s="5">
        <f t="shared" si="9"/>
        <v>0</v>
      </c>
      <c r="AN79" s="8">
        <f t="shared" si="8"/>
        <v>0</v>
      </c>
      <c r="AO79" s="11" t="s">
        <v>226</v>
      </c>
    </row>
    <row r="80" spans="1:41" ht="15" customHeight="1">
      <c r="A80" s="2">
        <v>76</v>
      </c>
      <c r="B80" s="21" t="s">
        <v>140</v>
      </c>
      <c r="C80" s="21"/>
      <c r="D80" s="21" t="s">
        <v>141</v>
      </c>
      <c r="E80" s="21"/>
      <c r="F80" s="21"/>
      <c r="G80" s="21"/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>
        <v>1</v>
      </c>
      <c r="Q80">
        <v>1</v>
      </c>
      <c r="R80">
        <v>1</v>
      </c>
      <c r="S80">
        <v>1</v>
      </c>
      <c r="T80">
        <v>0</v>
      </c>
      <c r="U80" s="9"/>
      <c r="V80" s="9"/>
      <c r="W80">
        <v>10</v>
      </c>
      <c r="X80" s="10">
        <f t="shared" si="7"/>
        <v>10</v>
      </c>
      <c r="Y80" s="5">
        <f t="shared" si="5"/>
        <v>17</v>
      </c>
      <c r="Z80">
        <v>3</v>
      </c>
      <c r="AA80">
        <v>3</v>
      </c>
      <c r="AB80">
        <v>2.5</v>
      </c>
      <c r="AC80">
        <v>2.5</v>
      </c>
      <c r="AD80">
        <v>6</v>
      </c>
      <c r="AE80" s="5">
        <f t="shared" si="9"/>
        <v>16.5</v>
      </c>
      <c r="AF80">
        <v>2</v>
      </c>
      <c r="AG80">
        <v>3.5</v>
      </c>
      <c r="AH80">
        <v>4</v>
      </c>
      <c r="AI80">
        <v>3.5</v>
      </c>
      <c r="AJ80">
        <v>3.5</v>
      </c>
      <c r="AK80" t="s">
        <v>207</v>
      </c>
      <c r="AL80">
        <f>6.5+1+3+2+2+3+2</f>
        <v>19.5</v>
      </c>
      <c r="AM80">
        <f>4.5+2.5+5+4+1+2</f>
        <v>19</v>
      </c>
      <c r="AN80" s="8">
        <f t="shared" si="8"/>
        <v>82</v>
      </c>
      <c r="AO80" s="11" t="s">
        <v>222</v>
      </c>
    </row>
    <row r="81" spans="1:41" ht="15" customHeight="1">
      <c r="A81" s="2">
        <v>77</v>
      </c>
      <c r="B81" s="21" t="s">
        <v>142</v>
      </c>
      <c r="C81" s="21"/>
      <c r="D81" s="21" t="s">
        <v>143</v>
      </c>
      <c r="E81" s="21"/>
      <c r="F81" s="21"/>
      <c r="G81" s="21"/>
      <c r="H81">
        <v>1</v>
      </c>
      <c r="I81">
        <v>1</v>
      </c>
      <c r="K81">
        <v>0</v>
      </c>
      <c r="L81">
        <v>0</v>
      </c>
      <c r="M81">
        <v>1</v>
      </c>
      <c r="P81">
        <v>0</v>
      </c>
      <c r="Q81">
        <v>0</v>
      </c>
      <c r="U81" s="9"/>
      <c r="V81" s="9"/>
      <c r="W81">
        <v>3</v>
      </c>
      <c r="X81" s="10">
        <f t="shared" si="7"/>
        <v>3</v>
      </c>
      <c r="Y81" s="5">
        <f t="shared" si="5"/>
        <v>7.5</v>
      </c>
      <c r="Z81">
        <v>1</v>
      </c>
      <c r="AA81">
        <v>0</v>
      </c>
      <c r="AB81">
        <v>0</v>
      </c>
      <c r="AC81">
        <v>2.5</v>
      </c>
      <c r="AD81">
        <v>4</v>
      </c>
      <c r="AE81" s="5">
        <f t="shared" si="9"/>
        <v>1</v>
      </c>
      <c r="AF81">
        <v>1</v>
      </c>
      <c r="AG81">
        <v>0</v>
      </c>
      <c r="AH81">
        <v>0</v>
      </c>
      <c r="AI81">
        <v>0</v>
      </c>
      <c r="AJ81">
        <v>0</v>
      </c>
      <c r="AK81" t="s">
        <v>209</v>
      </c>
      <c r="AN81" s="8">
        <f t="shared" si="8"/>
        <v>11.5</v>
      </c>
      <c r="AO81" s="11" t="s">
        <v>225</v>
      </c>
    </row>
    <row r="82" spans="1:41" ht="15" customHeight="1">
      <c r="A82" s="2">
        <v>78</v>
      </c>
      <c r="B82" s="21" t="s">
        <v>144</v>
      </c>
      <c r="C82" s="21"/>
      <c r="D82" s="21" t="s">
        <v>145</v>
      </c>
      <c r="E82" s="21"/>
      <c r="F82" s="21"/>
      <c r="G82" s="21"/>
      <c r="I82">
        <v>0</v>
      </c>
      <c r="J82">
        <v>1</v>
      </c>
      <c r="K82">
        <v>1</v>
      </c>
      <c r="L82">
        <v>0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 s="9"/>
      <c r="V82" s="9"/>
      <c r="W82">
        <v>10</v>
      </c>
      <c r="X82" s="10">
        <f t="shared" si="7"/>
        <v>10</v>
      </c>
      <c r="Y82" s="5">
        <f t="shared" si="5"/>
        <v>18.5</v>
      </c>
      <c r="Z82">
        <v>2.5</v>
      </c>
      <c r="AA82">
        <v>3</v>
      </c>
      <c r="AB82">
        <v>3</v>
      </c>
      <c r="AC82">
        <v>3</v>
      </c>
      <c r="AD82">
        <v>7</v>
      </c>
      <c r="AE82" s="5">
        <f>SUM(AF82:AJ82)</f>
        <v>20</v>
      </c>
      <c r="AF82" s="7">
        <v>4</v>
      </c>
      <c r="AG82" s="7">
        <v>4</v>
      </c>
      <c r="AH82" s="7">
        <v>4</v>
      </c>
      <c r="AI82" s="7">
        <v>4</v>
      </c>
      <c r="AJ82" s="7">
        <v>4</v>
      </c>
      <c r="AK82" t="s">
        <v>207</v>
      </c>
      <c r="AL82">
        <f>7+1+7+4+1+3+0</f>
        <v>23</v>
      </c>
      <c r="AM82">
        <f>5+5+5+5+0+0</f>
        <v>20</v>
      </c>
      <c r="AN82" s="8">
        <f t="shared" si="8"/>
        <v>91.5</v>
      </c>
      <c r="AO82" s="11" t="s">
        <v>218</v>
      </c>
    </row>
    <row r="83" spans="1:41" ht="15" customHeight="1">
      <c r="A83" s="2">
        <v>79</v>
      </c>
      <c r="B83" s="21" t="s">
        <v>146</v>
      </c>
      <c r="C83" s="21"/>
      <c r="D83" s="21" t="s">
        <v>147</v>
      </c>
      <c r="E83" s="21"/>
      <c r="F83" s="21"/>
      <c r="G83" s="21"/>
      <c r="I83">
        <v>1</v>
      </c>
      <c r="J83">
        <v>0</v>
      </c>
      <c r="K83">
        <v>1</v>
      </c>
      <c r="L83">
        <v>1</v>
      </c>
      <c r="M83">
        <v>1</v>
      </c>
      <c r="N83">
        <v>0</v>
      </c>
      <c r="O83">
        <v>1</v>
      </c>
      <c r="P83">
        <v>1</v>
      </c>
      <c r="Q83">
        <v>1</v>
      </c>
      <c r="R83">
        <v>0</v>
      </c>
      <c r="S83">
        <v>1</v>
      </c>
      <c r="T83">
        <v>1</v>
      </c>
      <c r="U83" s="9">
        <v>2</v>
      </c>
      <c r="V83" s="9">
        <v>1</v>
      </c>
      <c r="W83">
        <v>9</v>
      </c>
      <c r="X83" s="10">
        <f t="shared" si="7"/>
        <v>12</v>
      </c>
      <c r="Y83" s="5">
        <f t="shared" si="5"/>
        <v>19</v>
      </c>
      <c r="Z83">
        <v>3</v>
      </c>
      <c r="AA83">
        <v>2</v>
      </c>
      <c r="AB83">
        <v>3</v>
      </c>
      <c r="AC83">
        <v>3</v>
      </c>
      <c r="AD83">
        <v>8</v>
      </c>
      <c r="AE83" s="5">
        <f>SUM(AF83:AJ83)</f>
        <v>20</v>
      </c>
      <c r="AF83" s="13">
        <v>4</v>
      </c>
      <c r="AG83" s="13">
        <v>4</v>
      </c>
      <c r="AH83" s="13">
        <v>4</v>
      </c>
      <c r="AI83" s="13">
        <v>4</v>
      </c>
      <c r="AJ83" s="13">
        <v>4</v>
      </c>
      <c r="AK83" t="s">
        <v>207</v>
      </c>
      <c r="AL83">
        <f>2+2+6+2+2+3+2</f>
        <v>19</v>
      </c>
      <c r="AM83">
        <f>5+1+5+3+5+2</f>
        <v>21</v>
      </c>
      <c r="AN83" s="8">
        <f t="shared" si="8"/>
        <v>91</v>
      </c>
      <c r="AO83" s="11" t="s">
        <v>218</v>
      </c>
    </row>
    <row r="84" spans="1:42" ht="15" customHeight="1">
      <c r="A84" s="2">
        <v>80</v>
      </c>
      <c r="B84" s="21" t="s">
        <v>148</v>
      </c>
      <c r="C84" s="21"/>
      <c r="D84" s="21" t="s">
        <v>149</v>
      </c>
      <c r="E84" s="21"/>
      <c r="F84" s="21"/>
      <c r="G84" s="21"/>
      <c r="J84">
        <v>0</v>
      </c>
      <c r="K84">
        <v>0</v>
      </c>
      <c r="N84">
        <v>0</v>
      </c>
      <c r="Q84">
        <v>0</v>
      </c>
      <c r="R84">
        <v>0</v>
      </c>
      <c r="S84">
        <v>0</v>
      </c>
      <c r="T84">
        <v>0</v>
      </c>
      <c r="U84" s="9"/>
      <c r="V84" s="9">
        <v>0</v>
      </c>
      <c r="W84">
        <v>0</v>
      </c>
      <c r="X84" s="10">
        <f t="shared" si="7"/>
        <v>0</v>
      </c>
      <c r="Y84" s="5">
        <f t="shared" si="5"/>
        <v>7.5</v>
      </c>
      <c r="Z84">
        <v>0.5</v>
      </c>
      <c r="AA84">
        <v>0.5</v>
      </c>
      <c r="AB84">
        <v>3</v>
      </c>
      <c r="AC84">
        <v>1</v>
      </c>
      <c r="AD84">
        <v>2.5</v>
      </c>
      <c r="AE84" s="5">
        <f aca="true" t="shared" si="10" ref="AE84:AE96">SUM(AF84:AJ84)</f>
        <v>10</v>
      </c>
      <c r="AF84" s="7">
        <v>3</v>
      </c>
      <c r="AG84" s="7">
        <v>2.5</v>
      </c>
      <c r="AH84" s="7">
        <v>2.5</v>
      </c>
      <c r="AI84" s="7">
        <v>0</v>
      </c>
      <c r="AJ84" s="7">
        <v>2</v>
      </c>
      <c r="AK84" t="s">
        <v>220</v>
      </c>
      <c r="AN84" s="8">
        <f t="shared" si="8"/>
        <v>17.5</v>
      </c>
      <c r="AO84" s="11" t="s">
        <v>225</v>
      </c>
      <c r="AP84" s="18" t="s">
        <v>223</v>
      </c>
    </row>
    <row r="85" spans="1:41" ht="15" customHeight="1">
      <c r="A85" s="2">
        <v>81</v>
      </c>
      <c r="B85" s="21" t="s">
        <v>150</v>
      </c>
      <c r="C85" s="21"/>
      <c r="D85" s="21" t="s">
        <v>151</v>
      </c>
      <c r="E85" s="21"/>
      <c r="F85" s="21"/>
      <c r="G85" s="21"/>
      <c r="K85">
        <v>0</v>
      </c>
      <c r="U85" s="9"/>
      <c r="V85" s="9"/>
      <c r="W85">
        <v>0</v>
      </c>
      <c r="X85" s="10">
        <f t="shared" si="7"/>
        <v>0</v>
      </c>
      <c r="Y85" s="5">
        <f t="shared" si="5"/>
        <v>0</v>
      </c>
      <c r="AE85" s="5">
        <f t="shared" si="10"/>
        <v>0</v>
      </c>
      <c r="AN85" s="8">
        <f t="shared" si="8"/>
        <v>0</v>
      </c>
      <c r="AO85" s="11" t="s">
        <v>226</v>
      </c>
    </row>
    <row r="86" spans="1:41" ht="15" customHeight="1">
      <c r="A86" s="2">
        <v>82</v>
      </c>
      <c r="B86" s="21" t="s">
        <v>152</v>
      </c>
      <c r="C86" s="21"/>
      <c r="D86" s="21" t="s">
        <v>153</v>
      </c>
      <c r="E86" s="21"/>
      <c r="F86" s="21"/>
      <c r="G86" s="21"/>
      <c r="H86">
        <v>1</v>
      </c>
      <c r="J86">
        <v>1</v>
      </c>
      <c r="K86">
        <v>1</v>
      </c>
      <c r="L86">
        <v>0</v>
      </c>
      <c r="M86">
        <v>1</v>
      </c>
      <c r="N86">
        <v>1</v>
      </c>
      <c r="O86">
        <v>1</v>
      </c>
      <c r="P86">
        <v>1</v>
      </c>
      <c r="R86">
        <v>1</v>
      </c>
      <c r="S86">
        <v>1</v>
      </c>
      <c r="T86">
        <v>1</v>
      </c>
      <c r="U86" s="9">
        <v>1</v>
      </c>
      <c r="V86" s="9">
        <v>1</v>
      </c>
      <c r="W86">
        <v>10</v>
      </c>
      <c r="X86" s="10">
        <f t="shared" si="7"/>
        <v>12</v>
      </c>
      <c r="Y86" s="5">
        <f t="shared" si="5"/>
        <v>19.5</v>
      </c>
      <c r="Z86">
        <v>3</v>
      </c>
      <c r="AA86">
        <v>3</v>
      </c>
      <c r="AB86">
        <v>3</v>
      </c>
      <c r="AC86">
        <v>3</v>
      </c>
      <c r="AD86">
        <v>7.5</v>
      </c>
      <c r="AE86" s="5">
        <f t="shared" si="10"/>
        <v>18.5</v>
      </c>
      <c r="AF86" s="7">
        <v>3</v>
      </c>
      <c r="AG86" s="7">
        <v>3.5</v>
      </c>
      <c r="AH86" s="7">
        <v>4</v>
      </c>
      <c r="AI86" s="7">
        <v>4</v>
      </c>
      <c r="AJ86" s="7">
        <v>4</v>
      </c>
      <c r="AK86" t="s">
        <v>207</v>
      </c>
      <c r="AL86">
        <f>4+2+7+4+2+3+0</f>
        <v>22</v>
      </c>
      <c r="AM86">
        <f>5+5+3+5+1+5</f>
        <v>24</v>
      </c>
      <c r="AN86" s="8">
        <f t="shared" si="8"/>
        <v>96</v>
      </c>
      <c r="AO86" s="11" t="s">
        <v>218</v>
      </c>
    </row>
    <row r="87" spans="1:41" ht="15" customHeight="1">
      <c r="A87" s="2">
        <v>83</v>
      </c>
      <c r="B87" s="21" t="s">
        <v>154</v>
      </c>
      <c r="C87" s="21"/>
      <c r="D87" s="21" t="s">
        <v>155</v>
      </c>
      <c r="E87" s="21"/>
      <c r="F87" s="21"/>
      <c r="G87" s="21"/>
      <c r="H87">
        <v>1</v>
      </c>
      <c r="I87">
        <v>0</v>
      </c>
      <c r="J87">
        <v>0</v>
      </c>
      <c r="K87">
        <v>0</v>
      </c>
      <c r="M87">
        <v>1</v>
      </c>
      <c r="N87">
        <v>1</v>
      </c>
      <c r="O87">
        <v>1</v>
      </c>
      <c r="P87">
        <v>0</v>
      </c>
      <c r="Q87">
        <v>0</v>
      </c>
      <c r="R87">
        <v>1</v>
      </c>
      <c r="S87">
        <v>1</v>
      </c>
      <c r="T87">
        <v>1</v>
      </c>
      <c r="U87" s="9">
        <v>1</v>
      </c>
      <c r="V87" s="9">
        <v>4</v>
      </c>
      <c r="W87">
        <v>7</v>
      </c>
      <c r="X87" s="10">
        <f t="shared" si="7"/>
        <v>12</v>
      </c>
      <c r="Y87" s="5">
        <f t="shared" si="5"/>
        <v>17.5</v>
      </c>
      <c r="Z87">
        <v>2</v>
      </c>
      <c r="AA87">
        <v>3</v>
      </c>
      <c r="AB87">
        <v>3</v>
      </c>
      <c r="AC87">
        <v>2.5</v>
      </c>
      <c r="AD87">
        <v>7</v>
      </c>
      <c r="AE87" s="5">
        <f t="shared" si="10"/>
        <v>19.5</v>
      </c>
      <c r="AF87" s="7">
        <v>3.5</v>
      </c>
      <c r="AG87" s="7">
        <v>4</v>
      </c>
      <c r="AH87" s="7">
        <v>4</v>
      </c>
      <c r="AI87" s="7">
        <v>4</v>
      </c>
      <c r="AJ87" s="7">
        <v>4</v>
      </c>
      <c r="AK87" t="s">
        <v>207</v>
      </c>
      <c r="AL87">
        <f>6+2+7+0+2+3+1</f>
        <v>21</v>
      </c>
      <c r="AM87">
        <f>5+4.5+1+4.5+4.5+5</f>
        <v>24.5</v>
      </c>
      <c r="AN87" s="8">
        <f t="shared" si="8"/>
        <v>94.5</v>
      </c>
      <c r="AO87" s="11" t="s">
        <v>218</v>
      </c>
    </row>
    <row r="88" spans="1:42" ht="15" customHeight="1">
      <c r="A88" s="2">
        <v>84</v>
      </c>
      <c r="B88" s="21" t="s">
        <v>156</v>
      </c>
      <c r="C88" s="21"/>
      <c r="D88" s="21" t="s">
        <v>157</v>
      </c>
      <c r="E88" s="21"/>
      <c r="F88" s="21"/>
      <c r="G88" s="21"/>
      <c r="H88">
        <v>1</v>
      </c>
      <c r="I88">
        <v>0</v>
      </c>
      <c r="K88">
        <v>0</v>
      </c>
      <c r="M88">
        <v>1</v>
      </c>
      <c r="N88">
        <v>0</v>
      </c>
      <c r="U88" s="9"/>
      <c r="V88" s="9"/>
      <c r="W88">
        <v>2</v>
      </c>
      <c r="X88" s="10">
        <f t="shared" si="7"/>
        <v>2</v>
      </c>
      <c r="Y88" s="5">
        <f t="shared" si="5"/>
        <v>7</v>
      </c>
      <c r="Z88">
        <v>0.5</v>
      </c>
      <c r="AA88">
        <v>1</v>
      </c>
      <c r="AB88">
        <v>2.5</v>
      </c>
      <c r="AC88">
        <v>0.5</v>
      </c>
      <c r="AD88">
        <v>2.5</v>
      </c>
      <c r="AE88" s="5">
        <f t="shared" si="10"/>
        <v>8</v>
      </c>
      <c r="AF88" s="7">
        <v>1</v>
      </c>
      <c r="AG88" s="7">
        <v>3.5</v>
      </c>
      <c r="AH88" s="7">
        <v>0</v>
      </c>
      <c r="AI88" s="7">
        <v>0</v>
      </c>
      <c r="AJ88" s="7">
        <v>3.5</v>
      </c>
      <c r="AK88" t="s">
        <v>220</v>
      </c>
      <c r="AN88" s="8">
        <f t="shared" si="8"/>
        <v>17</v>
      </c>
      <c r="AO88" s="11" t="s">
        <v>225</v>
      </c>
      <c r="AP88" s="18" t="s">
        <v>223</v>
      </c>
    </row>
    <row r="89" spans="1:42" ht="15" customHeight="1">
      <c r="A89" s="2">
        <v>85</v>
      </c>
      <c r="B89" s="21" t="s">
        <v>158</v>
      </c>
      <c r="C89" s="21"/>
      <c r="D89" s="21" t="s">
        <v>159</v>
      </c>
      <c r="E89" s="21"/>
      <c r="F89" s="21"/>
      <c r="G89" s="21"/>
      <c r="I89">
        <v>0</v>
      </c>
      <c r="L89">
        <v>0</v>
      </c>
      <c r="N89">
        <v>0</v>
      </c>
      <c r="O89">
        <v>0</v>
      </c>
      <c r="Q89">
        <v>0</v>
      </c>
      <c r="R89">
        <v>0</v>
      </c>
      <c r="S89">
        <v>0</v>
      </c>
      <c r="U89" s="9"/>
      <c r="V89" s="9"/>
      <c r="W89">
        <v>0</v>
      </c>
      <c r="X89" s="10">
        <f t="shared" si="7"/>
        <v>0</v>
      </c>
      <c r="Y89" s="5">
        <f t="shared" si="5"/>
        <v>9</v>
      </c>
      <c r="Z89">
        <v>2</v>
      </c>
      <c r="AA89">
        <v>0</v>
      </c>
      <c r="AB89">
        <v>1.5</v>
      </c>
      <c r="AC89">
        <v>0.5</v>
      </c>
      <c r="AD89">
        <v>5</v>
      </c>
      <c r="AE89" s="5">
        <f t="shared" si="10"/>
        <v>6</v>
      </c>
      <c r="AF89" s="12">
        <v>2</v>
      </c>
      <c r="AG89" s="12">
        <v>0</v>
      </c>
      <c r="AH89" s="12">
        <v>2</v>
      </c>
      <c r="AI89" s="12">
        <v>0</v>
      </c>
      <c r="AJ89" s="12">
        <v>2</v>
      </c>
      <c r="AK89" t="s">
        <v>220</v>
      </c>
      <c r="AN89" s="8">
        <f t="shared" si="8"/>
        <v>15</v>
      </c>
      <c r="AO89" s="11" t="s">
        <v>225</v>
      </c>
      <c r="AP89" s="18" t="s">
        <v>223</v>
      </c>
    </row>
    <row r="90" spans="1:41" ht="15" customHeight="1">
      <c r="A90" s="2">
        <v>86</v>
      </c>
      <c r="B90" s="21" t="s">
        <v>160</v>
      </c>
      <c r="C90" s="21"/>
      <c r="D90" s="21" t="s">
        <v>161</v>
      </c>
      <c r="E90" s="21"/>
      <c r="F90" s="21"/>
      <c r="G90" s="21"/>
      <c r="H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0</v>
      </c>
      <c r="T90">
        <v>0</v>
      </c>
      <c r="U90" s="9">
        <v>1</v>
      </c>
      <c r="V90" s="9">
        <v>1</v>
      </c>
      <c r="W90">
        <v>10</v>
      </c>
      <c r="X90" s="10">
        <f t="shared" si="7"/>
        <v>12</v>
      </c>
      <c r="Y90" s="5">
        <f aca="true" t="shared" si="11" ref="Y90:Y96">SUM(Z90:AD90)</f>
        <v>19</v>
      </c>
      <c r="Z90" s="12">
        <v>4</v>
      </c>
      <c r="AA90" s="12">
        <v>4</v>
      </c>
      <c r="AB90" s="12">
        <v>4</v>
      </c>
      <c r="AC90" s="12">
        <v>4</v>
      </c>
      <c r="AD90" s="12">
        <v>3</v>
      </c>
      <c r="AE90" s="5">
        <f t="shared" si="10"/>
        <v>16</v>
      </c>
      <c r="AF90" s="7">
        <v>2</v>
      </c>
      <c r="AG90" s="7">
        <v>3</v>
      </c>
      <c r="AH90" s="7">
        <v>4</v>
      </c>
      <c r="AI90" s="7">
        <v>3</v>
      </c>
      <c r="AJ90" s="7">
        <v>4</v>
      </c>
      <c r="AK90" t="s">
        <v>207</v>
      </c>
      <c r="AL90">
        <f>5.5+1+5+2+2+3+3</f>
        <v>21.5</v>
      </c>
      <c r="AM90">
        <f>5+4.5+4.5+4+0+4.5</f>
        <v>22.5</v>
      </c>
      <c r="AN90" s="8">
        <f t="shared" si="8"/>
        <v>91</v>
      </c>
      <c r="AO90" s="11" t="s">
        <v>218</v>
      </c>
    </row>
    <row r="91" spans="1:41" ht="15" customHeight="1">
      <c r="A91" s="2">
        <v>87</v>
      </c>
      <c r="B91" s="21" t="s">
        <v>162</v>
      </c>
      <c r="C91" s="21"/>
      <c r="D91" s="21" t="s">
        <v>163</v>
      </c>
      <c r="E91" s="21"/>
      <c r="F91" s="21"/>
      <c r="G91" s="21"/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0</v>
      </c>
      <c r="U91" s="9">
        <v>1</v>
      </c>
      <c r="V91" s="9">
        <v>1</v>
      </c>
      <c r="W91">
        <v>10</v>
      </c>
      <c r="X91" s="10">
        <f t="shared" si="7"/>
        <v>12</v>
      </c>
      <c r="Y91" s="5">
        <f t="shared" si="11"/>
        <v>20</v>
      </c>
      <c r="Z91" s="12">
        <v>4</v>
      </c>
      <c r="AA91" s="12">
        <v>4</v>
      </c>
      <c r="AB91" s="12">
        <v>4</v>
      </c>
      <c r="AC91" s="12">
        <v>4</v>
      </c>
      <c r="AD91" s="12">
        <v>4</v>
      </c>
      <c r="AE91" s="5">
        <f t="shared" si="10"/>
        <v>20</v>
      </c>
      <c r="AF91" s="7">
        <v>4</v>
      </c>
      <c r="AG91">
        <v>4</v>
      </c>
      <c r="AH91">
        <v>4</v>
      </c>
      <c r="AI91">
        <v>4</v>
      </c>
      <c r="AJ91">
        <v>4</v>
      </c>
      <c r="AK91" t="s">
        <v>207</v>
      </c>
      <c r="AL91">
        <f>6+2+7+4+2+4+3</f>
        <v>28</v>
      </c>
      <c r="AM91">
        <f>5+5+4.5+5+5+5</f>
        <v>29.5</v>
      </c>
      <c r="AN91" s="8">
        <f t="shared" si="8"/>
        <v>109.5</v>
      </c>
      <c r="AO91" s="11" t="s">
        <v>218</v>
      </c>
    </row>
    <row r="92" spans="1:41" ht="15" customHeight="1">
      <c r="A92" s="1">
        <v>88</v>
      </c>
      <c r="B92" s="21" t="s">
        <v>164</v>
      </c>
      <c r="C92" s="21"/>
      <c r="D92" s="21" t="s">
        <v>165</v>
      </c>
      <c r="E92" s="21"/>
      <c r="F92" s="21"/>
      <c r="G92" s="21"/>
      <c r="H92">
        <v>0</v>
      </c>
      <c r="I92">
        <v>0</v>
      </c>
      <c r="J92">
        <v>0</v>
      </c>
      <c r="L92">
        <v>0</v>
      </c>
      <c r="M92">
        <v>0</v>
      </c>
      <c r="N92">
        <v>0</v>
      </c>
      <c r="R92">
        <v>0</v>
      </c>
      <c r="S92">
        <v>0</v>
      </c>
      <c r="U92" s="9"/>
      <c r="V92" s="9"/>
      <c r="W92">
        <v>0</v>
      </c>
      <c r="X92" s="10">
        <f t="shared" si="7"/>
        <v>0</v>
      </c>
      <c r="Y92" s="5">
        <f t="shared" si="11"/>
        <v>0</v>
      </c>
      <c r="AE92" s="5">
        <f t="shared" si="10"/>
        <v>0</v>
      </c>
      <c r="AN92" s="8">
        <f t="shared" si="8"/>
        <v>0</v>
      </c>
      <c r="AO92" s="11" t="s">
        <v>226</v>
      </c>
    </row>
    <row r="93" spans="1:40" ht="15" customHeight="1">
      <c r="A93" s="1">
        <v>89</v>
      </c>
      <c r="B93" s="21" t="s">
        <v>166</v>
      </c>
      <c r="C93" s="21"/>
      <c r="D93" s="21" t="s">
        <v>167</v>
      </c>
      <c r="E93" s="21"/>
      <c r="F93" s="21"/>
      <c r="G93" s="21"/>
      <c r="P93">
        <v>0</v>
      </c>
      <c r="Q93">
        <v>0</v>
      </c>
      <c r="R93">
        <v>0</v>
      </c>
      <c r="T93">
        <v>1</v>
      </c>
      <c r="U93" s="9"/>
      <c r="V93" s="9"/>
      <c r="W93">
        <v>1</v>
      </c>
      <c r="X93" s="10">
        <f t="shared" si="7"/>
        <v>1</v>
      </c>
      <c r="Y93" s="5">
        <f t="shared" si="11"/>
        <v>0</v>
      </c>
      <c r="AE93" s="5">
        <f t="shared" si="10"/>
        <v>11.5</v>
      </c>
      <c r="AF93">
        <v>3</v>
      </c>
      <c r="AG93">
        <v>4</v>
      </c>
      <c r="AH93">
        <v>4</v>
      </c>
      <c r="AI93">
        <v>0.5</v>
      </c>
      <c r="AJ93">
        <v>0</v>
      </c>
      <c r="AK93" t="s">
        <v>207</v>
      </c>
      <c r="AL93">
        <v>2</v>
      </c>
      <c r="AM93">
        <v>3</v>
      </c>
      <c r="AN93" s="8">
        <f t="shared" si="8"/>
        <v>17.5</v>
      </c>
    </row>
    <row r="94" spans="1:41" ht="15" customHeight="1">
      <c r="A94" s="1">
        <v>90</v>
      </c>
      <c r="B94" s="21" t="s">
        <v>168</v>
      </c>
      <c r="C94" s="21"/>
      <c r="D94" s="21" t="s">
        <v>169</v>
      </c>
      <c r="E94" s="21"/>
      <c r="F94" s="21"/>
      <c r="G94" s="21"/>
      <c r="H94">
        <v>0</v>
      </c>
      <c r="I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0</v>
      </c>
      <c r="U94" s="9">
        <v>1</v>
      </c>
      <c r="V94" s="9">
        <v>1</v>
      </c>
      <c r="W94">
        <v>10</v>
      </c>
      <c r="X94" s="10">
        <f t="shared" si="7"/>
        <v>12</v>
      </c>
      <c r="Y94" s="5">
        <f t="shared" si="11"/>
        <v>14.5</v>
      </c>
      <c r="Z94">
        <v>2.5</v>
      </c>
      <c r="AA94">
        <v>0</v>
      </c>
      <c r="AB94">
        <v>2.5</v>
      </c>
      <c r="AC94">
        <v>2.5</v>
      </c>
      <c r="AD94">
        <v>7</v>
      </c>
      <c r="AE94" s="5">
        <f t="shared" si="10"/>
        <v>14</v>
      </c>
      <c r="AF94">
        <v>3</v>
      </c>
      <c r="AG94">
        <v>1</v>
      </c>
      <c r="AH94">
        <v>4</v>
      </c>
      <c r="AI94">
        <v>3.5</v>
      </c>
      <c r="AJ94">
        <v>2.5</v>
      </c>
      <c r="AK94" t="s">
        <v>207</v>
      </c>
      <c r="AL94">
        <f>7+2+6+4+2+2+0</f>
        <v>23</v>
      </c>
      <c r="AM94">
        <f>0+1+0+0+0+4</f>
        <v>5</v>
      </c>
      <c r="AN94" s="8">
        <f t="shared" si="8"/>
        <v>68.5</v>
      </c>
      <c r="AO94" s="11" t="s">
        <v>221</v>
      </c>
    </row>
    <row r="95" spans="1:41" ht="15" customHeight="1">
      <c r="A95" s="1">
        <v>91</v>
      </c>
      <c r="B95" s="21" t="s">
        <v>170</v>
      </c>
      <c r="C95" s="21"/>
      <c r="D95" s="21" t="s">
        <v>171</v>
      </c>
      <c r="E95" s="21"/>
      <c r="F95" s="21"/>
      <c r="G95" s="21"/>
      <c r="H95">
        <v>1</v>
      </c>
      <c r="I95">
        <v>2</v>
      </c>
      <c r="J95">
        <v>1</v>
      </c>
      <c r="K95">
        <v>1</v>
      </c>
      <c r="L95">
        <v>1</v>
      </c>
      <c r="M95">
        <v>1</v>
      </c>
      <c r="N95">
        <v>1</v>
      </c>
      <c r="P95">
        <v>1</v>
      </c>
      <c r="Q95">
        <v>1</v>
      </c>
      <c r="S95">
        <v>0</v>
      </c>
      <c r="U95" s="9">
        <v>1</v>
      </c>
      <c r="V95" s="9"/>
      <c r="W95">
        <v>10</v>
      </c>
      <c r="X95" s="10">
        <f t="shared" si="7"/>
        <v>11</v>
      </c>
      <c r="Y95" s="5">
        <f t="shared" si="11"/>
        <v>18</v>
      </c>
      <c r="Z95">
        <v>2</v>
      </c>
      <c r="AA95">
        <v>2.5</v>
      </c>
      <c r="AB95">
        <v>3</v>
      </c>
      <c r="AC95">
        <v>3</v>
      </c>
      <c r="AD95">
        <v>7.5</v>
      </c>
      <c r="AE95" s="5">
        <f t="shared" si="10"/>
        <v>19</v>
      </c>
      <c r="AF95" s="13">
        <v>4</v>
      </c>
      <c r="AG95" s="13">
        <v>4</v>
      </c>
      <c r="AH95" s="13">
        <v>4</v>
      </c>
      <c r="AI95" s="13">
        <v>4</v>
      </c>
      <c r="AJ95" s="13">
        <v>3</v>
      </c>
      <c r="AK95" t="s">
        <v>207</v>
      </c>
      <c r="AL95">
        <f>6.5+2+7+3+1+3+2</f>
        <v>24.5</v>
      </c>
      <c r="AM95">
        <f>5+4+4.5+4.5+4.5+5</f>
        <v>27.5</v>
      </c>
      <c r="AN95" s="8">
        <f t="shared" si="8"/>
        <v>100</v>
      </c>
      <c r="AO95" s="11" t="s">
        <v>218</v>
      </c>
    </row>
    <row r="96" spans="1:41" ht="15" customHeight="1">
      <c r="A96" s="1">
        <v>92</v>
      </c>
      <c r="B96" s="21" t="s">
        <v>172</v>
      </c>
      <c r="C96" s="21"/>
      <c r="D96" s="21" t="s">
        <v>173</v>
      </c>
      <c r="E96" s="21"/>
      <c r="F96" s="21"/>
      <c r="G96" s="21"/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9">
        <v>1</v>
      </c>
      <c r="V96" s="9">
        <v>4</v>
      </c>
      <c r="W96">
        <v>1</v>
      </c>
      <c r="X96" s="10">
        <f t="shared" si="7"/>
        <v>6</v>
      </c>
      <c r="Y96" s="6">
        <f t="shared" si="11"/>
        <v>17</v>
      </c>
      <c r="Z96">
        <v>1.5</v>
      </c>
      <c r="AA96">
        <v>2.5</v>
      </c>
      <c r="AB96">
        <v>2</v>
      </c>
      <c r="AC96">
        <v>3</v>
      </c>
      <c r="AD96">
        <v>8</v>
      </c>
      <c r="AE96" s="6">
        <f t="shared" si="10"/>
        <v>17.5</v>
      </c>
      <c r="AF96" s="7">
        <v>2.5</v>
      </c>
      <c r="AG96" s="7">
        <v>3</v>
      </c>
      <c r="AH96" s="7">
        <v>4</v>
      </c>
      <c r="AI96" s="7">
        <v>4</v>
      </c>
      <c r="AJ96" s="7">
        <v>4</v>
      </c>
      <c r="AK96" t="s">
        <v>207</v>
      </c>
      <c r="AL96">
        <f>5+2+3+4+2+3+0</f>
        <v>19</v>
      </c>
      <c r="AM96">
        <f>5+1+5+5+1+5</f>
        <v>22</v>
      </c>
      <c r="AN96" s="8">
        <f t="shared" si="8"/>
        <v>81.5</v>
      </c>
      <c r="AO96" s="11" t="s">
        <v>222</v>
      </c>
    </row>
  </sheetData>
  <sheetProtection/>
  <mergeCells count="183">
    <mergeCell ref="D3:F3"/>
    <mergeCell ref="B8:C8"/>
    <mergeCell ref="D8:G8"/>
    <mergeCell ref="B9:C9"/>
    <mergeCell ref="D9:G9"/>
    <mergeCell ref="B6:C6"/>
    <mergeCell ref="D6:G6"/>
    <mergeCell ref="B7:C7"/>
    <mergeCell ref="D7:G7"/>
    <mergeCell ref="B4:C4"/>
    <mergeCell ref="D4:G4"/>
    <mergeCell ref="B5:C5"/>
    <mergeCell ref="D5:G5"/>
    <mergeCell ref="B14:C14"/>
    <mergeCell ref="D14:G14"/>
    <mergeCell ref="B10:C10"/>
    <mergeCell ref="D10:G10"/>
    <mergeCell ref="B11:C11"/>
    <mergeCell ref="D11:G11"/>
    <mergeCell ref="B15:C15"/>
    <mergeCell ref="D15:G15"/>
    <mergeCell ref="B12:C12"/>
    <mergeCell ref="D12:G12"/>
    <mergeCell ref="B13:C13"/>
    <mergeCell ref="D13:G13"/>
    <mergeCell ref="B20:C20"/>
    <mergeCell ref="D20:G20"/>
    <mergeCell ref="B21:C21"/>
    <mergeCell ref="D21:G21"/>
    <mergeCell ref="B18:C18"/>
    <mergeCell ref="D18:G18"/>
    <mergeCell ref="B19:C19"/>
    <mergeCell ref="D19:G19"/>
    <mergeCell ref="B16:C16"/>
    <mergeCell ref="D16:G16"/>
    <mergeCell ref="B17:C17"/>
    <mergeCell ref="D17:G17"/>
    <mergeCell ref="B26:C26"/>
    <mergeCell ref="D26:G26"/>
    <mergeCell ref="B22:C22"/>
    <mergeCell ref="D22:G22"/>
    <mergeCell ref="B23:C23"/>
    <mergeCell ref="D23:G23"/>
    <mergeCell ref="B27:C27"/>
    <mergeCell ref="D27:G27"/>
    <mergeCell ref="B24:C24"/>
    <mergeCell ref="D24:G24"/>
    <mergeCell ref="B25:C25"/>
    <mergeCell ref="D25:G25"/>
    <mergeCell ref="B33:C33"/>
    <mergeCell ref="D33:G33"/>
    <mergeCell ref="B34:C34"/>
    <mergeCell ref="D34:G34"/>
    <mergeCell ref="B31:C31"/>
    <mergeCell ref="D31:G31"/>
    <mergeCell ref="B32:C32"/>
    <mergeCell ref="D32:G32"/>
    <mergeCell ref="B28:C28"/>
    <mergeCell ref="D28:G28"/>
    <mergeCell ref="B29:C29"/>
    <mergeCell ref="D29:G29"/>
    <mergeCell ref="D30:F30"/>
    <mergeCell ref="B39:C39"/>
    <mergeCell ref="D39:G39"/>
    <mergeCell ref="B35:C35"/>
    <mergeCell ref="D35:G35"/>
    <mergeCell ref="B36:C36"/>
    <mergeCell ref="B40:C40"/>
    <mergeCell ref="D40:G40"/>
    <mergeCell ref="B37:C37"/>
    <mergeCell ref="D37:G37"/>
    <mergeCell ref="B38:C38"/>
    <mergeCell ref="D38:G38"/>
    <mergeCell ref="D36:G36"/>
    <mergeCell ref="B45:C45"/>
    <mergeCell ref="D45:G45"/>
    <mergeCell ref="B46:C46"/>
    <mergeCell ref="D46:G46"/>
    <mergeCell ref="B43:C43"/>
    <mergeCell ref="D43:G43"/>
    <mergeCell ref="B44:C44"/>
    <mergeCell ref="D44:G44"/>
    <mergeCell ref="B41:C41"/>
    <mergeCell ref="D41:G41"/>
    <mergeCell ref="B42:C42"/>
    <mergeCell ref="D42:G42"/>
    <mergeCell ref="B51:C51"/>
    <mergeCell ref="D51:G51"/>
    <mergeCell ref="B52:C52"/>
    <mergeCell ref="D52:G52"/>
    <mergeCell ref="B49:C49"/>
    <mergeCell ref="D49:G49"/>
    <mergeCell ref="B50:C50"/>
    <mergeCell ref="D50:G50"/>
    <mergeCell ref="B47:C47"/>
    <mergeCell ref="D47:G47"/>
    <mergeCell ref="B48:C48"/>
    <mergeCell ref="D48:G48"/>
    <mergeCell ref="B60:C60"/>
    <mergeCell ref="D60:G60"/>
    <mergeCell ref="B53:C53"/>
    <mergeCell ref="D53:G53"/>
    <mergeCell ref="B54:C54"/>
    <mergeCell ref="B62:C62"/>
    <mergeCell ref="D62:G62"/>
    <mergeCell ref="B55:C55"/>
    <mergeCell ref="D55:G55"/>
    <mergeCell ref="B59:C59"/>
    <mergeCell ref="D59:G59"/>
    <mergeCell ref="D61:F61"/>
    <mergeCell ref="D58:F58"/>
    <mergeCell ref="D54:G54"/>
    <mergeCell ref="D57:F57"/>
    <mergeCell ref="D56:F56"/>
    <mergeCell ref="B67:C67"/>
    <mergeCell ref="D67:G67"/>
    <mergeCell ref="B68:C68"/>
    <mergeCell ref="D68:G68"/>
    <mergeCell ref="B65:C65"/>
    <mergeCell ref="D65:G65"/>
    <mergeCell ref="B66:C66"/>
    <mergeCell ref="D66:G66"/>
    <mergeCell ref="B63:C63"/>
    <mergeCell ref="D63:G63"/>
    <mergeCell ref="B64:C64"/>
    <mergeCell ref="D64:G64"/>
    <mergeCell ref="B73:C73"/>
    <mergeCell ref="D73:G73"/>
    <mergeCell ref="B69:C69"/>
    <mergeCell ref="D69:G69"/>
    <mergeCell ref="B70:C70"/>
    <mergeCell ref="B74:C74"/>
    <mergeCell ref="D74:G74"/>
    <mergeCell ref="B71:C71"/>
    <mergeCell ref="D71:G71"/>
    <mergeCell ref="B72:C72"/>
    <mergeCell ref="D72:G72"/>
    <mergeCell ref="D70:G70"/>
    <mergeCell ref="B80:C80"/>
    <mergeCell ref="D80:G80"/>
    <mergeCell ref="B81:C81"/>
    <mergeCell ref="D81:G81"/>
    <mergeCell ref="B77:C77"/>
    <mergeCell ref="D77:G77"/>
    <mergeCell ref="B79:C79"/>
    <mergeCell ref="D79:G79"/>
    <mergeCell ref="B75:C75"/>
    <mergeCell ref="D76:G76"/>
    <mergeCell ref="D87:G87"/>
    <mergeCell ref="B84:C84"/>
    <mergeCell ref="D84:G84"/>
    <mergeCell ref="B85:C85"/>
    <mergeCell ref="D85:G85"/>
    <mergeCell ref="B82:C82"/>
    <mergeCell ref="D82:G82"/>
    <mergeCell ref="B1:R1"/>
    <mergeCell ref="B96:C96"/>
    <mergeCell ref="D96:G96"/>
    <mergeCell ref="D78:F78"/>
    <mergeCell ref="B94:C94"/>
    <mergeCell ref="D94:G94"/>
    <mergeCell ref="B95:C95"/>
    <mergeCell ref="D95:G95"/>
    <mergeCell ref="D75:G75"/>
    <mergeCell ref="B76:C76"/>
    <mergeCell ref="B92:C92"/>
    <mergeCell ref="D92:G92"/>
    <mergeCell ref="B93:C93"/>
    <mergeCell ref="D93:G93"/>
    <mergeCell ref="B90:C90"/>
    <mergeCell ref="D90:G90"/>
    <mergeCell ref="B91:C91"/>
    <mergeCell ref="D91:G91"/>
    <mergeCell ref="AL1:AM1"/>
    <mergeCell ref="B88:C88"/>
    <mergeCell ref="D88:G88"/>
    <mergeCell ref="B89:C89"/>
    <mergeCell ref="D89:G89"/>
    <mergeCell ref="B86:C86"/>
    <mergeCell ref="D86:G86"/>
    <mergeCell ref="B87:C87"/>
    <mergeCell ref="B83:C83"/>
    <mergeCell ref="D83:G83"/>
  </mergeCells>
  <conditionalFormatting sqref="Y3:Y96">
    <cfRule type="cellIs" priority="8" dxfId="6" operator="lessThan">
      <formula>10</formula>
    </cfRule>
    <cfRule type="cellIs" priority="9" dxfId="7" operator="equal">
      <formula>10</formula>
    </cfRule>
    <cfRule type="cellIs" priority="10" dxfId="7" operator="greaterThan">
      <formula>10</formula>
    </cfRule>
  </conditionalFormatting>
  <conditionalFormatting sqref="AE3:AE96">
    <cfRule type="cellIs" priority="5" dxfId="6" operator="lessThan" stopIfTrue="1">
      <formula>10</formula>
    </cfRule>
    <cfRule type="cellIs" priority="6" dxfId="7" operator="equal" stopIfTrue="1">
      <formula>10</formula>
    </cfRule>
    <cfRule type="cellIs" priority="7" dxfId="7" operator="greaterThan" stopIfTrue="1">
      <formula>10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Kraav</dc:creator>
  <cp:keywords/>
  <dc:description/>
  <cp:lastModifiedBy>Tiina Kraav</cp:lastModifiedBy>
  <dcterms:created xsi:type="dcterms:W3CDTF">2011-02-11T08:50:03Z</dcterms:created>
  <dcterms:modified xsi:type="dcterms:W3CDTF">2011-06-17T12:45:21Z</dcterms:modified>
  <cp:category/>
  <cp:version/>
  <cp:contentType/>
  <cp:contentStatus/>
</cp:coreProperties>
</file>